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35" yWindow="4020" windowWidth="20520" windowHeight="3540" activeTab="2"/>
  </bookViews>
  <sheets>
    <sheet name="Koond_vorm" sheetId="14" r:id="rId1"/>
    <sheet name="Sheet1" sheetId="15" r:id="rId2"/>
    <sheet name="rakendusplaan 2016-2020" sheetId="12" r:id="rId3"/>
  </sheets>
  <definedNames>
    <definedName name="_xlnm._FilterDatabase" localSheetId="2" hidden="1">'rakendusplaan 2016-2020'!$B$1:$AQ$105</definedName>
    <definedName name="_GoBack" localSheetId="2">'rakendusplaan 2016-2020'!$C$122</definedName>
    <definedName name="_xlnm.Print_Area" localSheetId="2">'rakendusplaan 2016-2020'!$B$1:$AQ$120</definedName>
    <definedName name="_xlnm.Print_Titles" localSheetId="0">Koond_vorm!$1:$1</definedName>
    <definedName name="_xlnm.Print_Titles" localSheetId="2">'rakendusplaan 2016-2020'!$1:$1</definedName>
  </definedNames>
  <calcPr calcId="125725"/>
  <pivotCaches>
    <pivotCache cacheId="0" r:id="rId4"/>
    <pivotCache cacheId="1" r:id="rId5"/>
    <pivotCache cacheId="2" r:id="rId6"/>
  </pivotCaches>
</workbook>
</file>

<file path=xl/calcChain.xml><?xml version="1.0" encoding="utf-8"?>
<calcChain xmlns="http://schemas.openxmlformats.org/spreadsheetml/2006/main">
  <c r="E88" i="14"/>
  <c r="F88"/>
  <c r="G88"/>
  <c r="H88"/>
  <c r="D88"/>
  <c r="E44"/>
  <c r="F44"/>
  <c r="G44"/>
  <c r="H44"/>
  <c r="D44"/>
  <c r="E28"/>
  <c r="F28"/>
  <c r="G28"/>
  <c r="H28"/>
  <c r="D28"/>
  <c r="E27"/>
  <c r="F27"/>
  <c r="G27"/>
  <c r="H27"/>
  <c r="D27"/>
  <c r="E23"/>
  <c r="F23"/>
  <c r="G23"/>
  <c r="H23"/>
  <c r="D23"/>
  <c r="E5"/>
  <c r="F5"/>
  <c r="G5"/>
  <c r="H5"/>
  <c r="D5"/>
  <c r="H4"/>
  <c r="E4"/>
  <c r="F4"/>
  <c r="G4"/>
  <c r="D4"/>
  <c r="H3"/>
  <c r="E3"/>
  <c r="F3"/>
  <c r="G3"/>
  <c r="D3"/>
  <c r="AO18" i="12"/>
  <c r="AJ11"/>
  <c r="AO40"/>
  <c r="AI40" l="1"/>
  <c r="AC40"/>
  <c r="W40" l="1"/>
  <c r="AP40" s="1"/>
  <c r="Q61" l="1"/>
  <c r="F134" i="14" l="1"/>
  <c r="E134"/>
  <c r="C134"/>
  <c r="B134"/>
  <c r="G130" l="1"/>
  <c r="C129"/>
  <c r="E129"/>
  <c r="E133" s="1"/>
  <c r="D129"/>
  <c r="F129"/>
  <c r="F133" s="1"/>
  <c r="B129"/>
  <c r="B133" s="1"/>
  <c r="G129" l="1"/>
  <c r="C133"/>
  <c r="AF37" i="12" l="1"/>
  <c r="AE37"/>
  <c r="AI37" s="1"/>
  <c r="AE65"/>
  <c r="AF65"/>
  <c r="Y65"/>
  <c r="Y63" s="1"/>
  <c r="Z65"/>
  <c r="S65"/>
  <c r="T65"/>
  <c r="S66"/>
  <c r="T66"/>
  <c r="N59"/>
  <c r="T56"/>
  <c r="S56"/>
  <c r="AL48"/>
  <c r="AK48"/>
  <c r="AF48"/>
  <c r="AF44" s="1"/>
  <c r="AE48"/>
  <c r="Z48"/>
  <c r="Z44" s="1"/>
  <c r="Y48"/>
  <c r="Y44" s="1"/>
  <c r="T48"/>
  <c r="T44" s="1"/>
  <c r="S48"/>
  <c r="N48"/>
  <c r="N44" s="1"/>
  <c r="M48"/>
  <c r="M44" s="1"/>
  <c r="N43"/>
  <c r="Q43" s="1"/>
  <c r="T43"/>
  <c r="S43"/>
  <c r="W43" s="1"/>
  <c r="AL38"/>
  <c r="AK38"/>
  <c r="AF38"/>
  <c r="AE38"/>
  <c r="Z38"/>
  <c r="Y38"/>
  <c r="T38"/>
  <c r="S38"/>
  <c r="W38" s="1"/>
  <c r="N38"/>
  <c r="M38"/>
  <c r="AL37"/>
  <c r="AK37"/>
  <c r="AK33" s="1"/>
  <c r="Z37"/>
  <c r="Y37"/>
  <c r="T37"/>
  <c r="S37"/>
  <c r="N37"/>
  <c r="M37"/>
  <c r="AL20"/>
  <c r="AK20"/>
  <c r="AO20" s="1"/>
  <c r="AF20"/>
  <c r="AF14" s="1"/>
  <c r="AE20"/>
  <c r="Z20"/>
  <c r="Y20"/>
  <c r="AC20" s="1"/>
  <c r="N20"/>
  <c r="M20"/>
  <c r="T9"/>
  <c r="S9"/>
  <c r="W9" s="1"/>
  <c r="N9"/>
  <c r="M9"/>
  <c r="AL104"/>
  <c r="AK104"/>
  <c r="AF104"/>
  <c r="AF101" s="1"/>
  <c r="AE104"/>
  <c r="AE101" s="1"/>
  <c r="Z104"/>
  <c r="Y104"/>
  <c r="AC104" s="1"/>
  <c r="T104"/>
  <c r="S104"/>
  <c r="M104"/>
  <c r="N104"/>
  <c r="Q104" s="1"/>
  <c r="Q29"/>
  <c r="Q30"/>
  <c r="Q31"/>
  <c r="W29"/>
  <c r="W30"/>
  <c r="W31"/>
  <c r="AC29"/>
  <c r="AC30"/>
  <c r="AC31"/>
  <c r="AI29"/>
  <c r="AI30"/>
  <c r="AO29"/>
  <c r="AO30"/>
  <c r="AO31"/>
  <c r="Q72"/>
  <c r="Q73"/>
  <c r="Q74"/>
  <c r="Q75"/>
  <c r="Q76"/>
  <c r="Q77"/>
  <c r="Q81"/>
  <c r="Q82"/>
  <c r="Q86"/>
  <c r="Q87"/>
  <c r="Q88"/>
  <c r="W72"/>
  <c r="W73"/>
  <c r="W74"/>
  <c r="W75"/>
  <c r="W76"/>
  <c r="W77"/>
  <c r="W81"/>
  <c r="W82"/>
  <c r="W86"/>
  <c r="W87"/>
  <c r="W88"/>
  <c r="AC72"/>
  <c r="AC73"/>
  <c r="AC74"/>
  <c r="AC75"/>
  <c r="AC76"/>
  <c r="AC77"/>
  <c r="AC81"/>
  <c r="AC82"/>
  <c r="AC86"/>
  <c r="AC87"/>
  <c r="AC88"/>
  <c r="AI72"/>
  <c r="AI73"/>
  <c r="AI74"/>
  <c r="AI75"/>
  <c r="AI76"/>
  <c r="AI77"/>
  <c r="AI81"/>
  <c r="AI82"/>
  <c r="AI86"/>
  <c r="AI87"/>
  <c r="AI88"/>
  <c r="AO72"/>
  <c r="AO73"/>
  <c r="AO74"/>
  <c r="AO75"/>
  <c r="AO76"/>
  <c r="AO77"/>
  <c r="AO81"/>
  <c r="AO82"/>
  <c r="AO86"/>
  <c r="AO87"/>
  <c r="AO88"/>
  <c r="Q98"/>
  <c r="Q99"/>
  <c r="Q100"/>
  <c r="W98"/>
  <c r="W99"/>
  <c r="W100"/>
  <c r="AC98"/>
  <c r="AC99"/>
  <c r="AC100"/>
  <c r="AI98"/>
  <c r="AI99"/>
  <c r="AI100"/>
  <c r="AO98"/>
  <c r="AO99"/>
  <c r="AO100"/>
  <c r="P18"/>
  <c r="O18"/>
  <c r="Q18" s="1"/>
  <c r="AH17"/>
  <c r="AG17"/>
  <c r="AI17" s="1"/>
  <c r="AB17"/>
  <c r="AB14" s="1"/>
  <c r="AA17"/>
  <c r="AA14" s="1"/>
  <c r="V17"/>
  <c r="U17"/>
  <c r="U14" s="1"/>
  <c r="P17"/>
  <c r="O17"/>
  <c r="AN17"/>
  <c r="AM17"/>
  <c r="AO13"/>
  <c r="AJ12"/>
  <c r="AO12" s="1"/>
  <c r="AO11"/>
  <c r="AD12"/>
  <c r="AI12" s="1"/>
  <c r="AD11"/>
  <c r="AI11" s="1"/>
  <c r="AC13"/>
  <c r="X12"/>
  <c r="AC12" s="1"/>
  <c r="X11"/>
  <c r="AC11" s="1"/>
  <c r="W13"/>
  <c r="R12"/>
  <c r="W12" s="1"/>
  <c r="R11"/>
  <c r="AN33"/>
  <c r="AM33"/>
  <c r="AJ33"/>
  <c r="AH33"/>
  <c r="AG33"/>
  <c r="AD33"/>
  <c r="AB33"/>
  <c r="AA33"/>
  <c r="X33"/>
  <c r="V33"/>
  <c r="U33"/>
  <c r="R33"/>
  <c r="O33"/>
  <c r="P33"/>
  <c r="L33"/>
  <c r="AC43"/>
  <c r="AI43"/>
  <c r="AO43"/>
  <c r="AO103"/>
  <c r="AI103"/>
  <c r="AC103"/>
  <c r="W103"/>
  <c r="Q103"/>
  <c r="AO56"/>
  <c r="AI56"/>
  <c r="AC56"/>
  <c r="N56"/>
  <c r="N53" s="1"/>
  <c r="M56"/>
  <c r="AO55"/>
  <c r="AI55"/>
  <c r="AC55"/>
  <c r="W55"/>
  <c r="Q55"/>
  <c r="AO50"/>
  <c r="AI50"/>
  <c r="AC50"/>
  <c r="W50"/>
  <c r="Q50"/>
  <c r="AO41"/>
  <c r="AI41"/>
  <c r="AC41"/>
  <c r="W41"/>
  <c r="Q41"/>
  <c r="AO39"/>
  <c r="Z39"/>
  <c r="Y39"/>
  <c r="T39"/>
  <c r="S39"/>
  <c r="N39"/>
  <c r="M39"/>
  <c r="AI38"/>
  <c r="AO28"/>
  <c r="AI28"/>
  <c r="AC28"/>
  <c r="W28"/>
  <c r="Q28"/>
  <c r="AO27"/>
  <c r="AI27"/>
  <c r="AC27"/>
  <c r="W27"/>
  <c r="Q27"/>
  <c r="AO26"/>
  <c r="AI26"/>
  <c r="AC26"/>
  <c r="W26"/>
  <c r="Q26"/>
  <c r="AO21"/>
  <c r="AI21"/>
  <c r="AC21"/>
  <c r="Q21"/>
  <c r="R21" s="1"/>
  <c r="T20"/>
  <c r="S20"/>
  <c r="AO19"/>
  <c r="AI19"/>
  <c r="AC19"/>
  <c r="W19"/>
  <c r="Q19"/>
  <c r="AO9"/>
  <c r="AI9"/>
  <c r="AC9"/>
  <c r="AO8"/>
  <c r="AI8"/>
  <c r="AC8"/>
  <c r="W8"/>
  <c r="Q8"/>
  <c r="AI39"/>
  <c r="AC48"/>
  <c r="Q38"/>
  <c r="AO104"/>
  <c r="AL33"/>
  <c r="W37"/>
  <c r="AE33"/>
  <c r="AO37"/>
  <c r="AI48"/>
  <c r="AC37"/>
  <c r="AJ102"/>
  <c r="AJ101" s="1"/>
  <c r="AD102"/>
  <c r="AI102" s="1"/>
  <c r="X102"/>
  <c r="AC102" s="1"/>
  <c r="L102"/>
  <c r="L101" s="1"/>
  <c r="R102"/>
  <c r="R101" s="1"/>
  <c r="AC18"/>
  <c r="W18"/>
  <c r="AI18"/>
  <c r="AN10"/>
  <c r="AN4" s="1"/>
  <c r="AM10"/>
  <c r="AM4" s="1"/>
  <c r="AH10"/>
  <c r="AH4" s="1"/>
  <c r="AG10"/>
  <c r="AB10"/>
  <c r="AB4" s="1"/>
  <c r="AA10"/>
  <c r="AA4" s="1"/>
  <c r="V10"/>
  <c r="V4" s="1"/>
  <c r="U10"/>
  <c r="U4" s="1"/>
  <c r="O10"/>
  <c r="O4" s="1"/>
  <c r="P10"/>
  <c r="P4" s="1"/>
  <c r="AG14"/>
  <c r="AG22"/>
  <c r="AG44"/>
  <c r="AG53"/>
  <c r="AG59"/>
  <c r="AG63"/>
  <c r="AG68"/>
  <c r="AG78"/>
  <c r="AG84"/>
  <c r="AG83" s="1"/>
  <c r="AG90"/>
  <c r="AG96"/>
  <c r="AG101"/>
  <c r="S4"/>
  <c r="Q42"/>
  <c r="W42"/>
  <c r="W49"/>
  <c r="W51"/>
  <c r="W52"/>
  <c r="W57"/>
  <c r="T14"/>
  <c r="N4"/>
  <c r="AO66"/>
  <c r="AI66"/>
  <c r="AC66"/>
  <c r="AL65"/>
  <c r="AL63" s="1"/>
  <c r="AK65"/>
  <c r="AE63"/>
  <c r="AC65"/>
  <c r="AO62"/>
  <c r="AI62"/>
  <c r="AC62"/>
  <c r="W62"/>
  <c r="Q62"/>
  <c r="AO61"/>
  <c r="AI61"/>
  <c r="AC61"/>
  <c r="W61"/>
  <c r="M59"/>
  <c r="AM101"/>
  <c r="AA101"/>
  <c r="U101"/>
  <c r="O101"/>
  <c r="O90"/>
  <c r="O96"/>
  <c r="U96"/>
  <c r="U90"/>
  <c r="AM96"/>
  <c r="AA96"/>
  <c r="AA90"/>
  <c r="AM90"/>
  <c r="AM84"/>
  <c r="AM83" s="1"/>
  <c r="AM78"/>
  <c r="AA84"/>
  <c r="AA83" s="1"/>
  <c r="AA78"/>
  <c r="U84"/>
  <c r="U83" s="1"/>
  <c r="U78"/>
  <c r="O84"/>
  <c r="O83" s="1"/>
  <c r="O78"/>
  <c r="O68"/>
  <c r="U68"/>
  <c r="AA68"/>
  <c r="AM68"/>
  <c r="AM59"/>
  <c r="AM63"/>
  <c r="AA63"/>
  <c r="AA59"/>
  <c r="U63"/>
  <c r="U59"/>
  <c r="O63"/>
  <c r="O59"/>
  <c r="O53"/>
  <c r="O44"/>
  <c r="U44"/>
  <c r="U53"/>
  <c r="AA53"/>
  <c r="AA44"/>
  <c r="AM53"/>
  <c r="AM44"/>
  <c r="O22"/>
  <c r="U22"/>
  <c r="AA22"/>
  <c r="AM22"/>
  <c r="O14"/>
  <c r="V101"/>
  <c r="T101"/>
  <c r="V96"/>
  <c r="V90"/>
  <c r="T96"/>
  <c r="S96"/>
  <c r="R96"/>
  <c r="AP93"/>
  <c r="AP94"/>
  <c r="W92"/>
  <c r="W90" s="1"/>
  <c r="T90"/>
  <c r="S90"/>
  <c r="R90"/>
  <c r="V84"/>
  <c r="V83" s="1"/>
  <c r="T84"/>
  <c r="T83" s="1"/>
  <c r="S84"/>
  <c r="S83" s="1"/>
  <c r="R84"/>
  <c r="R83" s="1"/>
  <c r="V78"/>
  <c r="T78"/>
  <c r="S78"/>
  <c r="R78"/>
  <c r="V68"/>
  <c r="V67" s="1"/>
  <c r="T68"/>
  <c r="T67" s="1"/>
  <c r="S68"/>
  <c r="S67" s="1"/>
  <c r="R68"/>
  <c r="R67" s="1"/>
  <c r="V63"/>
  <c r="R63"/>
  <c r="V59"/>
  <c r="T59"/>
  <c r="S59"/>
  <c r="R59"/>
  <c r="R58" s="1"/>
  <c r="V53"/>
  <c r="S53"/>
  <c r="R53"/>
  <c r="V44"/>
  <c r="R44"/>
  <c r="R22"/>
  <c r="V22"/>
  <c r="T22"/>
  <c r="S22"/>
  <c r="V14"/>
  <c r="T4"/>
  <c r="AB101"/>
  <c r="Z101"/>
  <c r="Y101"/>
  <c r="AB96"/>
  <c r="Z96"/>
  <c r="Y96"/>
  <c r="X96"/>
  <c r="AC92"/>
  <c r="AC90" s="1"/>
  <c r="AB90"/>
  <c r="Z90"/>
  <c r="Y90"/>
  <c r="X90"/>
  <c r="AB84"/>
  <c r="AB83" s="1"/>
  <c r="Z84"/>
  <c r="Z83" s="1"/>
  <c r="Y84"/>
  <c r="Y83" s="1"/>
  <c r="X84"/>
  <c r="F73" i="14" s="1"/>
  <c r="AB78" i="12"/>
  <c r="Z78"/>
  <c r="Y78"/>
  <c r="X78"/>
  <c r="AB68"/>
  <c r="AB67" s="1"/>
  <c r="Z68"/>
  <c r="Z67" s="1"/>
  <c r="Y68"/>
  <c r="Y67" s="1"/>
  <c r="X68"/>
  <c r="X67" s="1"/>
  <c r="AB63"/>
  <c r="X63"/>
  <c r="AB59"/>
  <c r="Z59"/>
  <c r="Y59"/>
  <c r="X59"/>
  <c r="X58" s="1"/>
  <c r="AC57"/>
  <c r="AB53"/>
  <c r="Z53"/>
  <c r="Y53"/>
  <c r="X53"/>
  <c r="AC52"/>
  <c r="AC49"/>
  <c r="AC51"/>
  <c r="AB44"/>
  <c r="X44"/>
  <c r="AC42"/>
  <c r="AB22"/>
  <c r="Z22"/>
  <c r="Y22"/>
  <c r="X22"/>
  <c r="AC17"/>
  <c r="Z14"/>
  <c r="Y14"/>
  <c r="X14"/>
  <c r="Z4"/>
  <c r="Y4"/>
  <c r="Q13"/>
  <c r="AN53"/>
  <c r="AL53"/>
  <c r="AH53"/>
  <c r="AF53"/>
  <c r="AD53"/>
  <c r="P53"/>
  <c r="L53"/>
  <c r="AO57"/>
  <c r="AI57"/>
  <c r="Q57"/>
  <c r="H40" i="14"/>
  <c r="C40"/>
  <c r="B40"/>
  <c r="B33"/>
  <c r="A33"/>
  <c r="AK53" i="12"/>
  <c r="AE53"/>
  <c r="AO49"/>
  <c r="AI49"/>
  <c r="Q49"/>
  <c r="AD14"/>
  <c r="L14"/>
  <c r="AJ53"/>
  <c r="M53"/>
  <c r="L4"/>
  <c r="AN90"/>
  <c r="AL90"/>
  <c r="AK90"/>
  <c r="AJ90"/>
  <c r="AH90"/>
  <c r="AF90"/>
  <c r="AE90"/>
  <c r="AD90"/>
  <c r="P90"/>
  <c r="N90"/>
  <c r="M90"/>
  <c r="L90"/>
  <c r="A2" i="14"/>
  <c r="A22"/>
  <c r="H87"/>
  <c r="C87"/>
  <c r="B87"/>
  <c r="H86"/>
  <c r="C86"/>
  <c r="B86"/>
  <c r="B85"/>
  <c r="A85"/>
  <c r="B84"/>
  <c r="A84"/>
  <c r="I56"/>
  <c r="I45"/>
  <c r="I26"/>
  <c r="I6"/>
  <c r="I80"/>
  <c r="I78"/>
  <c r="I76"/>
  <c r="H74"/>
  <c r="C74"/>
  <c r="B74"/>
  <c r="B73"/>
  <c r="A73"/>
  <c r="I71"/>
  <c r="I70"/>
  <c r="I68"/>
  <c r="A67"/>
  <c r="H66"/>
  <c r="C66"/>
  <c r="B66"/>
  <c r="H65"/>
  <c r="H64"/>
  <c r="C65"/>
  <c r="C64"/>
  <c r="B65"/>
  <c r="B64"/>
  <c r="B63"/>
  <c r="A63"/>
  <c r="B62"/>
  <c r="A62"/>
  <c r="I57"/>
  <c r="I55"/>
  <c r="I53"/>
  <c r="A52"/>
  <c r="AN96" i="12"/>
  <c r="AL96"/>
  <c r="AK96"/>
  <c r="AJ96"/>
  <c r="AH96"/>
  <c r="AF96"/>
  <c r="AE96"/>
  <c r="AD96"/>
  <c r="P96"/>
  <c r="N96"/>
  <c r="M96"/>
  <c r="L96"/>
  <c r="AO92"/>
  <c r="AO90" s="1"/>
  <c r="AI92"/>
  <c r="AI90" s="1"/>
  <c r="G84" i="14" s="1"/>
  <c r="Q92" i="12"/>
  <c r="Q90" s="1"/>
  <c r="AN78"/>
  <c r="AL78"/>
  <c r="AK78"/>
  <c r="AJ78"/>
  <c r="AH78"/>
  <c r="AF78"/>
  <c r="AE78"/>
  <c r="AD78"/>
  <c r="P78"/>
  <c r="N78"/>
  <c r="M78"/>
  <c r="L78"/>
  <c r="AN68"/>
  <c r="AN67" s="1"/>
  <c r="AL68"/>
  <c r="AL67" s="1"/>
  <c r="AK68"/>
  <c r="AK67" s="1"/>
  <c r="AJ68"/>
  <c r="AJ67" s="1"/>
  <c r="AH68"/>
  <c r="AH67" s="1"/>
  <c r="AF68"/>
  <c r="AF67" s="1"/>
  <c r="AE68"/>
  <c r="AE67" s="1"/>
  <c r="AD68"/>
  <c r="AD67" s="1"/>
  <c r="P68"/>
  <c r="P67" s="1"/>
  <c r="N68"/>
  <c r="N67" s="1"/>
  <c r="M68"/>
  <c r="M67" s="1"/>
  <c r="L68"/>
  <c r="L67" s="1"/>
  <c r="AN84"/>
  <c r="AN83" s="1"/>
  <c r="AL84"/>
  <c r="AL83" s="1"/>
  <c r="AK84"/>
  <c r="AK83" s="1"/>
  <c r="AJ84"/>
  <c r="AJ83" s="1"/>
  <c r="AH84"/>
  <c r="AH83" s="1"/>
  <c r="AF84"/>
  <c r="AF83" s="1"/>
  <c r="AE84"/>
  <c r="AE83" s="1"/>
  <c r="AD84"/>
  <c r="AD83" s="1"/>
  <c r="P84"/>
  <c r="P83" s="1"/>
  <c r="N84"/>
  <c r="N83" s="1"/>
  <c r="M84"/>
  <c r="M83" s="1"/>
  <c r="L84"/>
  <c r="L83" s="1"/>
  <c r="AD101"/>
  <c r="AL101"/>
  <c r="N101"/>
  <c r="AL4"/>
  <c r="AF4"/>
  <c r="AL14"/>
  <c r="N14"/>
  <c r="AI42"/>
  <c r="AO42"/>
  <c r="I46" i="14"/>
  <c r="I7"/>
  <c r="Q51" i="12"/>
  <c r="Q52"/>
  <c r="AI51"/>
  <c r="AI52"/>
  <c r="AO51"/>
  <c r="AO52"/>
  <c r="AN44"/>
  <c r="AL44"/>
  <c r="AJ44"/>
  <c r="AH44"/>
  <c r="AE44"/>
  <c r="AD44"/>
  <c r="P44"/>
  <c r="L44"/>
  <c r="H38" i="14"/>
  <c r="B38"/>
  <c r="C38"/>
  <c r="H35"/>
  <c r="B35"/>
  <c r="C35"/>
  <c r="H20"/>
  <c r="B20"/>
  <c r="C20"/>
  <c r="H18"/>
  <c r="B18"/>
  <c r="C18"/>
  <c r="H15"/>
  <c r="C15"/>
  <c r="B15"/>
  <c r="I43"/>
  <c r="I42"/>
  <c r="AK4" i="12"/>
  <c r="AE4"/>
  <c r="M4"/>
  <c r="I24" i="14"/>
  <c r="Q11" i="12"/>
  <c r="Q12"/>
  <c r="B19" i="14"/>
  <c r="AN63" i="12"/>
  <c r="AJ63"/>
  <c r="AH63"/>
  <c r="AD63"/>
  <c r="L63"/>
  <c r="AJ59"/>
  <c r="AJ58" s="1"/>
  <c r="AD59"/>
  <c r="L59"/>
  <c r="AJ14"/>
  <c r="AJ22"/>
  <c r="P22"/>
  <c r="N22"/>
  <c r="M22"/>
  <c r="AH22"/>
  <c r="AF22"/>
  <c r="AE22"/>
  <c r="AD22"/>
  <c r="H51" i="14"/>
  <c r="C51"/>
  <c r="H50"/>
  <c r="C50"/>
  <c r="H39"/>
  <c r="H37"/>
  <c r="C39"/>
  <c r="C37"/>
  <c r="H36"/>
  <c r="H34"/>
  <c r="C36"/>
  <c r="C34"/>
  <c r="H21"/>
  <c r="H19"/>
  <c r="C21"/>
  <c r="C19"/>
  <c r="H17"/>
  <c r="C17"/>
  <c r="H16"/>
  <c r="H14"/>
  <c r="C16"/>
  <c r="C14"/>
  <c r="B88"/>
  <c r="B51"/>
  <c r="B50"/>
  <c r="B49"/>
  <c r="A49"/>
  <c r="B48"/>
  <c r="A48"/>
  <c r="B41"/>
  <c r="A41"/>
  <c r="B39"/>
  <c r="B37"/>
  <c r="B36"/>
  <c r="B34"/>
  <c r="B32"/>
  <c r="A32"/>
  <c r="B31"/>
  <c r="A31"/>
  <c r="B22"/>
  <c r="B21"/>
  <c r="B17"/>
  <c r="B16"/>
  <c r="B14"/>
  <c r="B13"/>
  <c r="A13"/>
  <c r="B12"/>
  <c r="A12"/>
  <c r="B11"/>
  <c r="A11"/>
  <c r="B2"/>
  <c r="P63" i="12"/>
  <c r="AN59"/>
  <c r="AH59"/>
  <c r="P59"/>
  <c r="AL59"/>
  <c r="AF59"/>
  <c r="AK59"/>
  <c r="AE59"/>
  <c r="P101"/>
  <c r="AH101"/>
  <c r="AK22"/>
  <c r="AL22"/>
  <c r="AN22"/>
  <c r="AK101"/>
  <c r="AN101"/>
  <c r="AH14"/>
  <c r="M14"/>
  <c r="AN14"/>
  <c r="P14"/>
  <c r="Z63"/>
  <c r="M63"/>
  <c r="W65"/>
  <c r="Q65"/>
  <c r="AK63"/>
  <c r="M101"/>
  <c r="L22"/>
  <c r="S44"/>
  <c r="AK14" l="1"/>
  <c r="S33"/>
  <c r="S32" s="1"/>
  <c r="AM14"/>
  <c r="AO17"/>
  <c r="M33"/>
  <c r="W48"/>
  <c r="W44" s="1"/>
  <c r="E32" i="14" s="1"/>
  <c r="S63" i="12"/>
  <c r="S58" s="1"/>
  <c r="AO102"/>
  <c r="AC63"/>
  <c r="F49" i="14" s="1"/>
  <c r="AC39" i="12"/>
  <c r="W102"/>
  <c r="W20"/>
  <c r="AP42"/>
  <c r="O58"/>
  <c r="U58"/>
  <c r="AA89"/>
  <c r="AN58"/>
  <c r="Q17"/>
  <c r="U89"/>
  <c r="AO59"/>
  <c r="H48" i="14" s="1"/>
  <c r="AD58" i="12"/>
  <c r="AJ89"/>
  <c r="N89"/>
  <c r="AF89"/>
  <c r="AB58"/>
  <c r="AA67"/>
  <c r="AK58"/>
  <c r="M58"/>
  <c r="Z3"/>
  <c r="AA32"/>
  <c r="AN89"/>
  <c r="X89"/>
  <c r="O89"/>
  <c r="AC59"/>
  <c r="W59"/>
  <c r="E48" i="14" s="1"/>
  <c r="P89" i="12"/>
  <c r="AL89"/>
  <c r="S14"/>
  <c r="S3" s="1"/>
  <c r="Q56"/>
  <c r="Q53" s="1"/>
  <c r="D33" i="14" s="1"/>
  <c r="Q39" i="12"/>
  <c r="AO84"/>
  <c r="AO83" s="1"/>
  <c r="H67" i="14" s="1"/>
  <c r="Z89" i="12"/>
  <c r="V58"/>
  <c r="I44" i="14"/>
  <c r="AM89" i="12"/>
  <c r="AI59"/>
  <c r="G48" i="14" s="1"/>
  <c r="AG58" i="12"/>
  <c r="AJ32"/>
  <c r="AH32"/>
  <c r="AB89"/>
  <c r="X83"/>
  <c r="AO101"/>
  <c r="AI44"/>
  <c r="G32" i="14" s="1"/>
  <c r="Z58" i="12"/>
  <c r="P58"/>
  <c r="M3"/>
  <c r="M89"/>
  <c r="L89"/>
  <c r="L3"/>
  <c r="AE32"/>
  <c r="W22"/>
  <c r="E13" i="14" s="1"/>
  <c r="O32" i="12"/>
  <c r="S89"/>
  <c r="AH3"/>
  <c r="AO53"/>
  <c r="H33" i="14" s="1"/>
  <c r="AI53" i="12"/>
  <c r="G33" i="14" s="1"/>
  <c r="V32" i="12"/>
  <c r="AI78"/>
  <c r="G63" i="14" s="1"/>
  <c r="AP75" i="12"/>
  <c r="AP100"/>
  <c r="AP99"/>
  <c r="W96"/>
  <c r="E85" i="14" s="1"/>
  <c r="AI68" i="12"/>
  <c r="G62" i="14" s="1"/>
  <c r="W78" i="12"/>
  <c r="E63" i="14" s="1"/>
  <c r="AP51" i="12"/>
  <c r="AP50"/>
  <c r="AC78"/>
  <c r="F63" i="14" s="1"/>
  <c r="AP87" i="12"/>
  <c r="AK89"/>
  <c r="AC14"/>
  <c r="F12" i="14" s="1"/>
  <c r="AG67" i="12"/>
  <c r="AP19"/>
  <c r="Q22"/>
  <c r="D13" i="14" s="1"/>
  <c r="AP41" i="12"/>
  <c r="AO14"/>
  <c r="H12" i="14" s="1"/>
  <c r="AE58" i="12"/>
  <c r="L58"/>
  <c r="AL32"/>
  <c r="R89"/>
  <c r="T89"/>
  <c r="AG89"/>
  <c r="AN3"/>
  <c r="AI33"/>
  <c r="AC44"/>
  <c r="F32" i="14" s="1"/>
  <c r="AP86" i="12"/>
  <c r="AO68"/>
  <c r="Q84"/>
  <c r="Q83" s="1"/>
  <c r="D67" i="14" s="1"/>
  <c r="AP74" i="12"/>
  <c r="AP30"/>
  <c r="Q20"/>
  <c r="AF3"/>
  <c r="Q37"/>
  <c r="Z33"/>
  <c r="Z32" s="1"/>
  <c r="AO48"/>
  <c r="AO44" s="1"/>
  <c r="H32" i="14" s="1"/>
  <c r="N63" i="12"/>
  <c r="N58" s="1"/>
  <c r="T63"/>
  <c r="T58" s="1"/>
  <c r="AI65"/>
  <c r="AI63" s="1"/>
  <c r="G49" i="14" s="1"/>
  <c r="P32" i="12"/>
  <c r="AL3"/>
  <c r="AE89"/>
  <c r="AA58"/>
  <c r="W39"/>
  <c r="W33" s="1"/>
  <c r="AC10"/>
  <c r="AC4" s="1"/>
  <c r="F11" i="14" s="1"/>
  <c r="AH58" i="12"/>
  <c r="Q102"/>
  <c r="Q101" s="1"/>
  <c r="AP57"/>
  <c r="Y3"/>
  <c r="V89"/>
  <c r="AP62"/>
  <c r="AI10"/>
  <c r="Q96"/>
  <c r="D85" i="14" s="1"/>
  <c r="AI84" i="12"/>
  <c r="G73" i="14" s="1"/>
  <c r="AC84" i="12"/>
  <c r="AC83" s="1"/>
  <c r="F67" i="14" s="1"/>
  <c r="W84" i="12"/>
  <c r="W83" s="1"/>
  <c r="E67" i="14" s="1"/>
  <c r="W56" i="12"/>
  <c r="Q66"/>
  <c r="Q63" s="1"/>
  <c r="AF33"/>
  <c r="AF32" s="1"/>
  <c r="AC101"/>
  <c r="F84" i="14"/>
  <c r="M32" i="12"/>
  <c r="W10"/>
  <c r="AK3"/>
  <c r="AJ4"/>
  <c r="AJ3" s="1"/>
  <c r="AP49"/>
  <c r="X101"/>
  <c r="R32"/>
  <c r="T3"/>
  <c r="AP12"/>
  <c r="V3"/>
  <c r="AI104"/>
  <c r="AI101" s="1"/>
  <c r="AC22"/>
  <c r="F13" i="14" s="1"/>
  <c r="Q48" i="12"/>
  <c r="Q44" s="1"/>
  <c r="D32" i="14" s="1"/>
  <c r="X32" i="12"/>
  <c r="AG32"/>
  <c r="AN32"/>
  <c r="Q68"/>
  <c r="D62" i="14" s="1"/>
  <c r="U3" i="12"/>
  <c r="AO96"/>
  <c r="H85" i="14" s="1"/>
  <c r="AI96" i="12"/>
  <c r="G85" i="14" s="1"/>
  <c r="AC96" i="12"/>
  <c r="F85" i="14" s="1"/>
  <c r="AP88" i="12"/>
  <c r="AO78"/>
  <c r="H63" i="14" s="1"/>
  <c r="AL58" i="12"/>
  <c r="AB3"/>
  <c r="AP55"/>
  <c r="AP98"/>
  <c r="AC68"/>
  <c r="F62" i="14" s="1"/>
  <c r="AF63" i="12"/>
  <c r="AF58" s="1"/>
  <c r="N3"/>
  <c r="AO65"/>
  <c r="AO63" s="1"/>
  <c r="H49" i="14" s="1"/>
  <c r="AD32" i="12"/>
  <c r="AP52"/>
  <c r="AD89"/>
  <c r="AH89"/>
  <c r="Y89"/>
  <c r="AM58"/>
  <c r="O67"/>
  <c r="U67"/>
  <c r="P3"/>
  <c r="AP18"/>
  <c r="T33"/>
  <c r="AI22"/>
  <c r="G13" i="14" s="1"/>
  <c r="AP28" i="12"/>
  <c r="N33"/>
  <c r="N32" s="1"/>
  <c r="AC53"/>
  <c r="F33" i="14" s="1"/>
  <c r="R4" i="12"/>
  <c r="X4"/>
  <c r="X3" s="1"/>
  <c r="AD4"/>
  <c r="AD3" s="1"/>
  <c r="AP81"/>
  <c r="AP76"/>
  <c r="AP72"/>
  <c r="AP31"/>
  <c r="AK44"/>
  <c r="AK32" s="1"/>
  <c r="AP92"/>
  <c r="AP90" s="1"/>
  <c r="AM32"/>
  <c r="AM67"/>
  <c r="O3"/>
  <c r="AA3"/>
  <c r="AA106" s="1"/>
  <c r="AO10"/>
  <c r="AO4" s="1"/>
  <c r="AP26"/>
  <c r="AO22"/>
  <c r="H13" i="14" s="1"/>
  <c r="AP103" i="12"/>
  <c r="L32"/>
  <c r="U32"/>
  <c r="AB32"/>
  <c r="AP77"/>
  <c r="AP73"/>
  <c r="W68"/>
  <c r="E62" i="14" s="1"/>
  <c r="AP82" i="12"/>
  <c r="AP29"/>
  <c r="W104"/>
  <c r="Q9"/>
  <c r="AP9" s="1"/>
  <c r="AI20"/>
  <c r="AI14" s="1"/>
  <c r="G12" i="14" s="1"/>
  <c r="Y33" i="12"/>
  <c r="Y32" s="1"/>
  <c r="AC38"/>
  <c r="AO38"/>
  <c r="AO33" s="1"/>
  <c r="H31" i="14" s="1"/>
  <c r="AP43" i="12"/>
  <c r="Y58"/>
  <c r="W21"/>
  <c r="AP21" s="1"/>
  <c r="R14"/>
  <c r="AM3"/>
  <c r="AI13"/>
  <c r="AP13" s="1"/>
  <c r="D84" i="14"/>
  <c r="H84"/>
  <c r="AP8" i="12"/>
  <c r="Q10"/>
  <c r="W66"/>
  <c r="W63" s="1"/>
  <c r="AP27"/>
  <c r="W17"/>
  <c r="T53"/>
  <c r="S101"/>
  <c r="W11"/>
  <c r="AP11" s="1"/>
  <c r="AG4"/>
  <c r="AG3" s="1"/>
  <c r="Q78"/>
  <c r="D63" i="14" s="1"/>
  <c r="E84"/>
  <c r="AE14" i="12"/>
  <c r="AE3" s="1"/>
  <c r="I77" i="14"/>
  <c r="I5"/>
  <c r="I28"/>
  <c r="I79"/>
  <c r="I3"/>
  <c r="I69"/>
  <c r="I25"/>
  <c r="I54"/>
  <c r="I27"/>
  <c r="I23"/>
  <c r="AP22" i="12" l="1"/>
  <c r="AC33"/>
  <c r="F31" i="14" s="1"/>
  <c r="W14" i="12"/>
  <c r="AM106"/>
  <c r="U106"/>
  <c r="V106"/>
  <c r="AN106"/>
  <c r="Z106"/>
  <c r="W4"/>
  <c r="W3" s="1"/>
  <c r="X106"/>
  <c r="AD106"/>
  <c r="AG106"/>
  <c r="AK106"/>
  <c r="Y106"/>
  <c r="AL106"/>
  <c r="AF106"/>
  <c r="S106"/>
  <c r="AE106"/>
  <c r="AB106"/>
  <c r="AH106"/>
  <c r="AJ106"/>
  <c r="AC58"/>
  <c r="F41" i="14" s="1"/>
  <c r="Q14" i="12"/>
  <c r="D12" i="14" s="1"/>
  <c r="F48"/>
  <c r="AP96" i="12"/>
  <c r="AP89" s="1"/>
  <c r="AP39"/>
  <c r="M106"/>
  <c r="T32"/>
  <c r="T106" s="1"/>
  <c r="AI32"/>
  <c r="W89"/>
  <c r="E75" i="14" s="1"/>
  <c r="AP56" i="12"/>
  <c r="AP53" s="1"/>
  <c r="H73" i="14"/>
  <c r="P106" i="12"/>
  <c r="Q89"/>
  <c r="D75" i="14" s="1"/>
  <c r="Q33" i="12"/>
  <c r="Q32" s="1"/>
  <c r="D22" i="14" s="1"/>
  <c r="G31"/>
  <c r="D73"/>
  <c r="W53" i="12"/>
  <c r="E33" i="14" s="1"/>
  <c r="I33" s="1"/>
  <c r="L106" i="12"/>
  <c r="R3"/>
  <c r="R106" s="1"/>
  <c r="AO67"/>
  <c r="H52" i="14" s="1"/>
  <c r="AO3" i="12"/>
  <c r="H2" i="14" s="1"/>
  <c r="W67" i="12"/>
  <c r="E52" i="14" s="1"/>
  <c r="AC67" i="12"/>
  <c r="F52" i="14" s="1"/>
  <c r="W32" i="12"/>
  <c r="AO32"/>
  <c r="AC89"/>
  <c r="F75" i="14" s="1"/>
  <c r="AI67" i="12"/>
  <c r="G52" i="14" s="1"/>
  <c r="AP10" i="12"/>
  <c r="AP4" s="1"/>
  <c r="H62" i="14"/>
  <c r="I62" s="1"/>
  <c r="AP84" i="12"/>
  <c r="AP83" s="1"/>
  <c r="AI58"/>
  <c r="G41" i="14" s="1"/>
  <c r="AI89" i="12"/>
  <c r="G75" i="14" s="1"/>
  <c r="H11"/>
  <c r="AI83" i="12"/>
  <c r="G67" i="14" s="1"/>
  <c r="I67" s="1"/>
  <c r="AP38" i="12"/>
  <c r="AP104"/>
  <c r="I32" i="14"/>
  <c r="AP65" i="12"/>
  <c r="AP102"/>
  <c r="AP37"/>
  <c r="AP33" s="1"/>
  <c r="W101"/>
  <c r="I13" i="14"/>
  <c r="O106" i="12"/>
  <c r="I85" i="14"/>
  <c r="N106" i="12"/>
  <c r="I63" i="14"/>
  <c r="I84"/>
  <c r="AI4" i="12"/>
  <c r="G11" i="14" s="1"/>
  <c r="AP78" i="12"/>
  <c r="AP20"/>
  <c r="AP61"/>
  <c r="AP59" s="1"/>
  <c r="Q59"/>
  <c r="D48" i="14" s="1"/>
  <c r="AP48" i="12"/>
  <c r="AP44" s="1"/>
  <c r="AC3"/>
  <c r="F2" i="14" s="1"/>
  <c r="AP68" i="12"/>
  <c r="AO89"/>
  <c r="H75" i="14" s="1"/>
  <c r="AO58" i="12"/>
  <c r="H41" i="14" s="1"/>
  <c r="D49"/>
  <c r="E12"/>
  <c r="AP17" i="12"/>
  <c r="AP14" s="1"/>
  <c r="AC32"/>
  <c r="W58"/>
  <c r="E41" i="14" s="1"/>
  <c r="E49"/>
  <c r="Q67" i="12"/>
  <c r="D52" i="14" s="1"/>
  <c r="AP66" i="12"/>
  <c r="Q4"/>
  <c r="I4" i="14"/>
  <c r="AC106" i="12" l="1"/>
  <c r="AP32"/>
  <c r="AP3"/>
  <c r="W106"/>
  <c r="E22" i="14"/>
  <c r="E11"/>
  <c r="I12"/>
  <c r="I88"/>
  <c r="H22"/>
  <c r="H89" s="1"/>
  <c r="AO106" i="12"/>
  <c r="G22" i="14"/>
  <c r="I48"/>
  <c r="D31"/>
  <c r="I73"/>
  <c r="AP67" i="12"/>
  <c r="AI3"/>
  <c r="G2" i="14" s="1"/>
  <c r="AP63" i="12"/>
  <c r="AP58" s="1"/>
  <c r="AP101"/>
  <c r="Q58"/>
  <c r="D41" i="14" s="1"/>
  <c r="I41" s="1"/>
  <c r="I52"/>
  <c r="I75"/>
  <c r="E31"/>
  <c r="I49"/>
  <c r="F22"/>
  <c r="F89" s="1"/>
  <c r="D11"/>
  <c r="Q3" i="12"/>
  <c r="G89" i="14" l="1"/>
  <c r="I11"/>
  <c r="AI106" i="12"/>
  <c r="AP106"/>
  <c r="I31" i="14"/>
  <c r="Q106" i="12"/>
  <c r="D2" i="14"/>
  <c r="E2"/>
  <c r="E89" s="1"/>
  <c r="I22"/>
  <c r="I2" l="1"/>
  <c r="D89"/>
  <c r="I89" s="1"/>
</calcChain>
</file>

<file path=xl/sharedStrings.xml><?xml version="1.0" encoding="utf-8"?>
<sst xmlns="http://schemas.openxmlformats.org/spreadsheetml/2006/main" count="853" uniqueCount="526">
  <si>
    <t xml:space="preserve">Eesmärgid/Indikaatorid/Valitsemisalad </t>
  </si>
  <si>
    <r>
      <t xml:space="preserve">Algtase </t>
    </r>
    <r>
      <rPr>
        <i/>
        <sz val="10"/>
        <rFont val="Arial Narrow"/>
        <family val="2"/>
        <charset val="186"/>
      </rPr>
      <t>(aasta)</t>
    </r>
  </si>
  <si>
    <t>Kokku</t>
  </si>
  <si>
    <t>sh KuM valitsemisala</t>
  </si>
  <si>
    <t>sh HTM valitsemisala</t>
  </si>
  <si>
    <t>sh SiM valitsemisala</t>
  </si>
  <si>
    <t>sh SoM valitsemisala</t>
  </si>
  <si>
    <t>sh JuM valitsemisala</t>
  </si>
  <si>
    <t>Indikaator 1.1.</t>
  </si>
  <si>
    <t>Kontaktide tihedus eestlaste ja teiste rahvuste esindajate vahel (osakaal, kellel on olnud palju kontakte)</t>
  </si>
  <si>
    <t>2015: eestlased – 41%; teised rahvused – 63%</t>
  </si>
  <si>
    <t>Indikaator 1.2.</t>
  </si>
  <si>
    <t>Erinevus kodanikuühiskonna organisatsioonides osalemises eestlaste ja teistest rahvusest elanike vahel</t>
  </si>
  <si>
    <t>Indikaator 1.3.</t>
  </si>
  <si>
    <t>Avatud hoiakuga inimeste osakaal sallivuse koondindeksi alusel</t>
  </si>
  <si>
    <t>2015: eestlased – 29%; teised rahvused – 54%</t>
  </si>
  <si>
    <t>eestlased – 37%; teised rahvused – 65 %</t>
  </si>
  <si>
    <t>Indikaator 1.1.1.</t>
  </si>
  <si>
    <t>Indikaator 1.1.2.</t>
  </si>
  <si>
    <t>Indikaator 1.1.3.</t>
  </si>
  <si>
    <t>Indikaator 1.2.1.</t>
  </si>
  <si>
    <t>Indikaator 1.2.2.</t>
  </si>
  <si>
    <t>Indikaator 1.3.1.</t>
  </si>
  <si>
    <t>Indikaator 1.3.2.</t>
  </si>
  <si>
    <t>Indikaator 1.3.3.</t>
  </si>
  <si>
    <t>sh RaM valitsemisala</t>
  </si>
  <si>
    <t>Indikaator 2.1.</t>
  </si>
  <si>
    <t>Eesti kodakondsuse naturalisatsiooni korras omandanud inimeste arv</t>
  </si>
  <si>
    <t>2013: 156 396</t>
  </si>
  <si>
    <t>suureneb</t>
  </si>
  <si>
    <t>Indikaator 2.2.</t>
  </si>
  <si>
    <t xml:space="preserve">Määratlemata kodakondsusega isikute arv </t>
  </si>
  <si>
    <t>2013: 91 288</t>
  </si>
  <si>
    <t>Indikaator 2.1.1.</t>
  </si>
  <si>
    <t>Indikaator 2.1.2.</t>
  </si>
  <si>
    <t>Indikaator 2.1.3.</t>
  </si>
  <si>
    <t>Indikaator 2.2.1.</t>
  </si>
  <si>
    <t>Indikaator 2.2.2.</t>
  </si>
  <si>
    <t xml:space="preserve"> </t>
  </si>
  <si>
    <t>Indikaator 2.2.3.</t>
  </si>
  <si>
    <t>Indikaator 2.3.1.</t>
  </si>
  <si>
    <t>Indikaator 3</t>
  </si>
  <si>
    <t>Kohanemiskoolituse läbinud uussisserändajate osakaal, kes hindavad, et nende konkurentsivõime ühiskonnas toimetulemiseks on paranenud</t>
  </si>
  <si>
    <t>määratletakse 2016 .a</t>
  </si>
  <si>
    <t>Indikaator 3.1.1.</t>
  </si>
  <si>
    <t>Indikaator 3.2.1.</t>
  </si>
  <si>
    <t>Eesti keelest erineva emakeelega õpilastel on konkurentsivõimelised teadmised ja oskused eestikeelses keskkonnas toimetulekuks</t>
  </si>
  <si>
    <t>Indikaator 4.1.</t>
  </si>
  <si>
    <t>Eesti keel teise keelena põhikooli lõpueksami ja gümnaasiumi riigieksami keskmine sooritustulemus</t>
  </si>
  <si>
    <t>2013: 68/69 punkti</t>
  </si>
  <si>
    <t>Eesti keele tasemeeksami (B2) sooritanute osakaal kõigist eesti keele tasemeeksami teinud kutseõppuritest</t>
  </si>
  <si>
    <t>2014: 13,3%</t>
  </si>
  <si>
    <t>Indikaator 4.3.</t>
  </si>
  <si>
    <t>Tipptasemel oskustega (PISA 5. ja 6. taseme saavutanud) õpilaste osakaal eesti keelest erineva õppekeelega koolis võrreldes eestikeelse kooliga</t>
  </si>
  <si>
    <t>2012: Loodusteadused: eesti keelest erineva õppekeelega kool 6,2%; eestikeelne kool 14,5%;
Lugemisoskus: eesti keelest erineva õppekeelega kool   7,6%; eestikeelne kool 9,7%</t>
  </si>
  <si>
    <t>Indikaator 4.4.</t>
  </si>
  <si>
    <t>Madala haridustasemega mitteõppivate 18−24-aastaste eesti emakeele ja eesti keelest erineva emakeelega noorte osakaalu (%) erinevus</t>
  </si>
  <si>
    <t>2013: eesti emakeelega 9,9%; eesti keelest erineva emakeelega 9,7%</t>
  </si>
  <si>
    <t>erinevust ei ole</t>
  </si>
  <si>
    <t>Indikaator 4.1.1.</t>
  </si>
  <si>
    <t>Indikaator 4.1.2.</t>
  </si>
  <si>
    <t>Indikaator 4.2.1.</t>
  </si>
  <si>
    <t>Eesti keelest erineva emakeelega noored osalevad aktiivselt noorsootöös ja neil on tihedad kontaktid eestikeelsete eakaaslastega</t>
  </si>
  <si>
    <t>Indikaator 5.1.</t>
  </si>
  <si>
    <t>Noorte kaasatus noorsootöös omavalitsustes, mille elanikkond on enamuses mitte-eestlased võrdluses Eesti keskmisega</t>
  </si>
  <si>
    <t>puudub, määratletakse 2015.a</t>
  </si>
  <si>
    <t>…</t>
  </si>
  <si>
    <t>Indikaator 5.1.1.</t>
  </si>
  <si>
    <t>Eesmärk 6</t>
  </si>
  <si>
    <t>Eesti keelest erineva emakeelega tööealistele elanikele on tagatud võimalused täiendada oma teadmisi ja oskusi konkurentsivõimeliseks osalemiseks tööturul</t>
  </si>
  <si>
    <t>Indikaator 6.1.</t>
  </si>
  <si>
    <t>Eesti keelt emakeelena mitte rääkivate ühiskonnaliikmete  enesehinnanguline aktiivne eesti keele oskus</t>
  </si>
  <si>
    <t>2011: 36%</t>
  </si>
  <si>
    <t>Indikaator 6.2.</t>
  </si>
  <si>
    <t>Töötuse määr eestlaste ja teisest rahvusest elanike seas</t>
  </si>
  <si>
    <t>erinevus 1,82 korda</t>
  </si>
  <si>
    <t>Indikaator 6.3.</t>
  </si>
  <si>
    <t>Tööhõive määr eestlaste ja teisest rahvusest elanike seas</t>
  </si>
  <si>
    <t>2013: eestlased - 63,0%;
teisest rahvusest elanikud  - 60,3%</t>
  </si>
  <si>
    <t>Indikaator 6.1.1.</t>
  </si>
  <si>
    <t>Indikaator 6.2.1.</t>
  </si>
  <si>
    <t>Rakendusplaani eelarve kokku</t>
  </si>
  <si>
    <t>Values</t>
  </si>
  <si>
    <t>Row Labels</t>
  </si>
  <si>
    <t>Sum of 2016</t>
  </si>
  <si>
    <t>Sum of 2017</t>
  </si>
  <si>
    <t>Sum of 2018</t>
  </si>
  <si>
    <t>Sum of 2019</t>
  </si>
  <si>
    <t>Sum of 2020</t>
  </si>
  <si>
    <t>HTM</t>
  </si>
  <si>
    <t>1.3.4.</t>
  </si>
  <si>
    <t>1.3.5.</t>
  </si>
  <si>
    <t>1.3.6.</t>
  </si>
  <si>
    <t>4.1.1.</t>
  </si>
  <si>
    <t>4.1.2.</t>
  </si>
  <si>
    <t>4.1.3.</t>
  </si>
  <si>
    <t>4.1.4.</t>
  </si>
  <si>
    <t>4.1.5.</t>
  </si>
  <si>
    <t>4.1.6.</t>
  </si>
  <si>
    <t>4.2.1.</t>
  </si>
  <si>
    <t>4.2.2.</t>
  </si>
  <si>
    <t xml:space="preserve">5.1.1. </t>
  </si>
  <si>
    <t>5.1.2.</t>
  </si>
  <si>
    <t>5.1.3.</t>
  </si>
  <si>
    <t>6.2.1.</t>
  </si>
  <si>
    <t>6.2.2.</t>
  </si>
  <si>
    <t>6.2.3.</t>
  </si>
  <si>
    <t>KuM</t>
  </si>
  <si>
    <t>1.1.1.</t>
  </si>
  <si>
    <t>1.1.2.</t>
  </si>
  <si>
    <t>1.1.4.</t>
  </si>
  <si>
    <t>1.1.5.</t>
  </si>
  <si>
    <t>1.1.6.</t>
  </si>
  <si>
    <t>1.2.3.</t>
  </si>
  <si>
    <t>1.2.4.</t>
  </si>
  <si>
    <t>1.2.5.</t>
  </si>
  <si>
    <t>1.3.1.</t>
  </si>
  <si>
    <t>1.3.2.</t>
  </si>
  <si>
    <t>1.3.3.</t>
  </si>
  <si>
    <t>2.1.1.</t>
  </si>
  <si>
    <t>2.1.2.</t>
  </si>
  <si>
    <t>2.1.3.</t>
  </si>
  <si>
    <t>2.1.4.</t>
  </si>
  <si>
    <t>2.2.1.</t>
  </si>
  <si>
    <t>2.2.3.</t>
  </si>
  <si>
    <t>2.3.1.</t>
  </si>
  <si>
    <t>2.3.2.</t>
  </si>
  <si>
    <t>7.1.</t>
  </si>
  <si>
    <t>SiM</t>
  </si>
  <si>
    <t>1.1.3.</t>
  </si>
  <si>
    <t>1.2.1.</t>
  </si>
  <si>
    <t>1.2.2.</t>
  </si>
  <si>
    <t>2.2.2.</t>
  </si>
  <si>
    <t>3.1.1.</t>
  </si>
  <si>
    <t>3.1.2.</t>
  </si>
  <si>
    <t>3.2.1.</t>
  </si>
  <si>
    <t>3.2.2.</t>
  </si>
  <si>
    <t>SoM</t>
  </si>
  <si>
    <t>6.1.1.</t>
  </si>
  <si>
    <t>6.1.2.</t>
  </si>
  <si>
    <t>6.1.3.</t>
  </si>
  <si>
    <t>JuM</t>
  </si>
  <si>
    <t>2.2.5.</t>
  </si>
  <si>
    <t>2.1.5.</t>
  </si>
  <si>
    <t>RaM</t>
  </si>
  <si>
    <t>2.3.3.</t>
  </si>
  <si>
    <t>Grand Total</t>
  </si>
  <si>
    <t>Nr</t>
  </si>
  <si>
    <t>Eesmärk/Meede/Tegevus</t>
  </si>
  <si>
    <t>Indikaator/Tulemus</t>
  </si>
  <si>
    <t>EA liik</t>
  </si>
  <si>
    <t>EA konto</t>
  </si>
  <si>
    <t>Vastutaja (org)</t>
  </si>
  <si>
    <t>Algtase</t>
  </si>
  <si>
    <t>Periood</t>
  </si>
  <si>
    <t>RÜ</t>
  </si>
  <si>
    <t>TS</t>
  </si>
  <si>
    <t>RE 2016</t>
  </si>
  <si>
    <t>KF ESF 2016</t>
  </si>
  <si>
    <t>ESF 2016</t>
  </si>
  <si>
    <t>KF AMIF 2016</t>
  </si>
  <si>
    <t>AMIF 2016</t>
  </si>
  <si>
    <t>RE 2017</t>
  </si>
  <si>
    <t>KF ESF 2017</t>
  </si>
  <si>
    <t>ESF 2017</t>
  </si>
  <si>
    <t>KF AMIF 2017</t>
  </si>
  <si>
    <t>AMIF 2017</t>
  </si>
  <si>
    <t>RE 2018</t>
  </si>
  <si>
    <t>KF ESF 2018</t>
  </si>
  <si>
    <t>ESF 2018</t>
  </si>
  <si>
    <t>KF AMIF 2018</t>
  </si>
  <si>
    <t>AMIF 2018</t>
  </si>
  <si>
    <t>RE 2019</t>
  </si>
  <si>
    <t>KF ESF 2019</t>
  </si>
  <si>
    <t>ESF 2019</t>
  </si>
  <si>
    <t>KF AMIF 2019</t>
  </si>
  <si>
    <t>AMIF 2019</t>
  </si>
  <si>
    <t>RE 2020</t>
  </si>
  <si>
    <t>KF ESF 2020</t>
  </si>
  <si>
    <t>ESF 2020</t>
  </si>
  <si>
    <t>KF AMIF 2020</t>
  </si>
  <si>
    <t>AMIF 2020</t>
  </si>
  <si>
    <t>Periood kokku</t>
  </si>
  <si>
    <t>Seos teiste valdkonna arengukavadega</t>
  </si>
  <si>
    <t>Alaeesmärk 1</t>
  </si>
  <si>
    <t xml:space="preserve">Lõimumist toetavad hoiakud ja väärtused on Eesti ühiskonnas kinnistunud </t>
  </si>
  <si>
    <t>Meede 1.1.</t>
  </si>
  <si>
    <t>Ühise inforuumi ja kultuurilisest mitmekesisusest teadlikkuse toetamine</t>
  </si>
  <si>
    <t>Eesti ühiskonnas on teadvustatud ning hinnatud lõimumist toetavaid demokraatlikke ja avatud väärtuseid ning nendel baseeruvat jagatud riigiidentiteeti</t>
  </si>
  <si>
    <t>Kommunikatsioonitegevustesse hõlmatud inimeste arv</t>
  </si>
  <si>
    <t>x</t>
  </si>
  <si>
    <t>Positiivse kultuurihoiakuga inimeste osakaal eestlaste ja teiste rahvuste seas</t>
  </si>
  <si>
    <t xml:space="preserve">Iga-aastaselt on kommunikatsioonitegevustesse hõlmatud 18 750 inimest </t>
  </si>
  <si>
    <t>4/5</t>
  </si>
  <si>
    <t>2016-2020</t>
  </si>
  <si>
    <t>MISA</t>
  </si>
  <si>
    <t>Lõimumisvaldkonna sisuteemade avamine trüki-, tele-, raadio- ja interaktiivses meedias.</t>
  </si>
  <si>
    <t>1 audiovisuaalmeedia- ning sotsiaalreklaamikampaania ellu viidud</t>
  </si>
  <si>
    <t>31/40</t>
  </si>
  <si>
    <t>INNOVE</t>
  </si>
  <si>
    <t>läbiviidud teavitusprojektide arv 5;  projektide tarbijate arv sihtrühmas 20 000 aastas, kogu periood 100 000 in</t>
  </si>
  <si>
    <t>ERR-i venekeelse raadioprogrammi tootmine ja edastamine</t>
  </si>
  <si>
    <t>ERR-i poolt edastatakse venekeelseid raadiosaateid</t>
  </si>
  <si>
    <t>ERR</t>
  </si>
  <si>
    <t>ERR-i  eesti-, vene- ja ingliskeelse teabe edastamine veebis</t>
  </si>
  <si>
    <t>Tagatud on ERR-i eesti-, vene- ning inglisekeelse veebiportaali töö</t>
  </si>
  <si>
    <t>Meede 1.2.</t>
  </si>
  <si>
    <t>Igapäevaste kontaktide, suhtluse ja kaasamise toetamine ühiskonnas</t>
  </si>
  <si>
    <t>Toetatud on eelkõige eri piirkondades elavate ja eri keelelis-kultuurilise taustaga inimeste omavahelisi praktilisi kontakte, kaasatud on eri keelelis-kultuurilise taustaga inimesi ning nende osalusel põhinevaid organisatsioone aktiivsesse ühiskonnaellu</t>
  </si>
  <si>
    <t>Projektidesse kaasatud inimeste arv</t>
  </si>
  <si>
    <t>Kolmandate riikide kodanike kaasatust ja ühiskonna protsessides osalemist toetavad tegevused (mh kodanikeühiskonnas osalemise võimalustest teabe vahendamine, kodanikeühiskonna organisatsioonide ja nende omavahelise koostöö toetamine)</t>
  </si>
  <si>
    <t>Iga aastaselt on toetatud 2 koostööprojekti</t>
  </si>
  <si>
    <t>Kohalike omavalitsuste võimekuse tõstmine kolmandate riikide kodanikele info vahendamisel ja avalike teenuste pakkumisel, sh täiendkoolitused, infopäevad jne</t>
  </si>
  <si>
    <t>Iga aastaselt on toetatud 4 kultuuri- ja spordialast projekti</t>
  </si>
  <si>
    <t>Ühiskonna protsessides osalemist toetavad tegevused (sh kodanikeühiskonna organisatsioonide ja nende omavahelise koostöö toetamine)</t>
  </si>
  <si>
    <t>Lõimumisvaldkonna arenduspreemiad</t>
  </si>
  <si>
    <t>Meede 1.3.</t>
  </si>
  <si>
    <t>Etniliste vähemuste emakeele ja kultuuri toetamine</t>
  </si>
  <si>
    <t>Tagatud on Eesti ühiskonna mitmekultuurilisus ja eri rahvuskultuure esindavate organisatsioonide jätkusuutlik toimimine ja süsteemne arendamine</t>
  </si>
  <si>
    <t>Toetatud katusorganisatsioonide ja nende allliikmetest rahvusvähemuste kultuuriseltside arv</t>
  </si>
  <si>
    <t>Tegevustes osalenud teisest rahvusest isikute teadlikkus oma etnilisest identiteedist (emakeeleoskus, rahvuskultuuri tundmine, valmisolek neid rohkem tundma õppida)</t>
  </si>
  <si>
    <t>Toetatud pühapäevakoolide arv</t>
  </si>
  <si>
    <t>2013: 26 kooli</t>
  </si>
  <si>
    <t>26 kooli</t>
  </si>
  <si>
    <t>Rahvusvähemuste kultuuriühingute toetusprogramm</t>
  </si>
  <si>
    <t>Iga-aastaselt on toetatud on 60 organisatsiooni</t>
  </si>
  <si>
    <t xml:space="preserve">Rahvuskultuuriseltside tegevuse baasrahastamine </t>
  </si>
  <si>
    <t>Iga-aastaselt on toetatud orienteeruvalt 230 organisatsiooni</t>
  </si>
  <si>
    <t>Eesti mitmekultuurilisust tähistatavate ürituste läbiviimine</t>
  </si>
  <si>
    <t>Iga-aastaselt on läbi viidud 3 üritust</t>
  </si>
  <si>
    <t>Pühapäevakoolide baasrahastamine</t>
  </si>
  <si>
    <t>Pühapäevakoolide koostöövõrgustiku toimimise  toetamine</t>
  </si>
  <si>
    <t>Toimib pühapäevakoolide õpetajate liit, mis koordineerib pühapäevakoolide võrgustikku</t>
  </si>
  <si>
    <t>Püha-päeva-koolide Õpetajate Ühendus</t>
  </si>
  <si>
    <t>Rahvuskultuuriseltside pühapäevakoolide õpetajate täienduskoolitus</t>
  </si>
  <si>
    <t>Iga-aastaselt on pühapäevakoolide õpetajate täiendkoolitusel osalenud 75 õpetajat.</t>
  </si>
  <si>
    <t>Alaeesmärk 2</t>
  </si>
  <si>
    <t>Vähelõimunud välispäritolu taustaga püsielanike osalemine ühiskonnas on kasvanud Eesti kodakondsuse omandamise ning uute ühiskondlike teadmiste kaudu</t>
  </si>
  <si>
    <t>Meede 2.1.</t>
  </si>
  <si>
    <t>Võimaluste loomine vähelõimunud välispäritolutaustaga Eesti püsielanike ühiskondliku aktiivsuse suurendamiseks ja lõimumise toetamiseks</t>
  </si>
  <si>
    <t>Koolitustel osalenud ning infot tarbinud püsielanikud on omandanud naturaliseerumiseks ning avalikkussfääris, kodanikuühiskonnas ja tööturul osalemiseks vajalikke teadmisi ja oskusi</t>
  </si>
  <si>
    <t>Lõimumisprogrammis osalenud isikute arv</t>
  </si>
  <si>
    <t>Lõimumisprogrammi läbinute osakaal, kellel on paranenud eesti keele oskus, praktiline informeeritus  ja teadmised Eesti riigi, ühiskonna ja kultuuri kohta</t>
  </si>
  <si>
    <t>Nõustamissüsteemi kasutanud isikute arv</t>
  </si>
  <si>
    <t>Paindliku lõimumisprogrammi (1. naturaliseerumiseks ettevalmistumise koolitus; 2. mitteformaalne keeleõpe, 3. kultuurikümblus; 4. kultuurikoolitus) väljatöötamine ja pakkumine</t>
  </si>
  <si>
    <t>rakendatud 3 koolitusmoodulit ja tegutsenud 150 eesti keele ja kultuuri klubi</t>
  </si>
  <si>
    <t xml:space="preserve">Nõustamis- ja infosüsteemi väljatöötamine ja rakendamine </t>
  </si>
  <si>
    <t>Ühiskondlikku sidusust toetavad programmid noortele</t>
  </si>
  <si>
    <t>Programmis osaleb 50 noort aastas. Peale programmi lõpetamist leiavad 70% osalejatest, et neil on Eestis võimalusi oma potentsiaali realiseerimiseks</t>
  </si>
  <si>
    <t>Keeleõpe noortelaagrites- ja peredes</t>
  </si>
  <si>
    <t>Iga-aastaselt on toetatud 32 noore osalemist pereõppes ja/või keelelaagris; Iga-aastaselt on toetatud 165 noore osalemist noortelaagrite eesti keele programmilistes tegevustes.</t>
  </si>
  <si>
    <t>Kinnipeetavate eesti keele õpe </t>
  </si>
  <si>
    <t>2.1.6.</t>
  </si>
  <si>
    <t xml:space="preserve">Tehnilised vahendid etendusasutustes ja muuseumides muukeelse info paremaks ja efektiivsemaks edastamiseks </t>
  </si>
  <si>
    <t>Hangitud tehniliste vahendite kasutajate arv - 20 000 inimest</t>
  </si>
  <si>
    <t>Meede 2.2.</t>
  </si>
  <si>
    <t>Õiguslik-poliitilise lõimumise toetamine</t>
  </si>
  <si>
    <t>Tugevnenud on ühist riigiidentiteeti, demokraatlikke ja kodanikeväärtusi toetavad hoiakud vähelõimunud Eesti püsielanike seas ja suurenenud on nende õigusteadlikkus. Samuti on teiste riikide ja määratlemata kodakondsusega isikud teadlikud Eesti kodakondsuse saamise võimalustest</t>
  </si>
  <si>
    <t>Teavitust läbiviivate organisatsioonide arv</t>
  </si>
  <si>
    <t>2013: 1 org</t>
  </si>
  <si>
    <t>1 org</t>
  </si>
  <si>
    <t>Tegevustes osalenud määratlemata kodakondsusega inimeste ja teiste kolmandate riikide kodanike teadlikkus Eesti kodakondsuse omamisega kaasnevatest õigustest ja kohustustest</t>
  </si>
  <si>
    <t>Toetatud organisatsioonide arv</t>
  </si>
  <si>
    <t>2013: 2 org</t>
  </si>
  <si>
    <t>2 org</t>
  </si>
  <si>
    <t>Määratlemata kodakondsusega inimestele ja teistele kolmandate riikide kodanikele suunatud info levitamine kodakondsuse taotlemise võimaluste kohta</t>
  </si>
  <si>
    <t>Määratlemata kodakondsusega inimestele ja teistele kolmandate riikide kodanikele suunatud info levitamine kodakondsuse taotlemise võimaluste kohta, töötab tasuta infotelefon ja veebileht www.meis.ee/kodanik</t>
  </si>
  <si>
    <t>Määratlemata kodakondsusega isikuid teavitatakse (nii kirjalikult, s.h. elektrooniliselt kui ka suuliselt) Eesti kodakondsuse saamise võimalustest</t>
  </si>
  <si>
    <t>Määratlemata kodakondsusega isikuid on teavitatud nii kirjalikult kui suuliselt PPA igapäevase töö raames</t>
  </si>
  <si>
    <t>PPA</t>
  </si>
  <si>
    <t>eraldi eelarvet ei ole, kulud kaetakse jooksvalt PPA eelarvest</t>
  </si>
  <si>
    <t>Projektide läbiviimine Eesti kodakondsuse väärtustamise, inimõiguste tunnustamise ja ühise riigiidentiteedi tekkimise toetamiseks</t>
  </si>
  <si>
    <t xml:space="preserve">2 organisatsiooni toetatud iga-aastaselt  </t>
  </si>
  <si>
    <t xml:space="preserve">Vene keelde tõlgitud õigusakti tekstide kaasajastamine </t>
  </si>
  <si>
    <t>52 õigusakti, mis on tõlgitud vene keelde, kaasajastatakse 2020. aastaks</t>
  </si>
  <si>
    <t xml:space="preserve">Tasuta õigusabi pakkumine vene keeles </t>
  </si>
  <si>
    <t>veebipõhist nõustamist on osutatud 1020 isikule aastas (isikud võivad korduda)</t>
  </si>
  <si>
    <t>Meede 2.3.</t>
  </si>
  <si>
    <t>Võrdse kohtlemise edendamine tööturul</t>
  </si>
  <si>
    <t>Suurenenud on organisatsioonide teadlikkus tööturul rahvuspõhise eraldatuse vähendamise vajalikkusest</t>
  </si>
  <si>
    <t>Tegevustesse hõlmatud organisatsioonide arv</t>
  </si>
  <si>
    <t>Võrdse kohtlemise edendamisega töökollektiivides seotud projektide elluviimise kaasrahastamine</t>
  </si>
  <si>
    <t>1 projekt ettevalmistatud ja rakendatud. Projektis osales: 20 vähelõimunud püsielanikust töötut, 20 mentorit ja 10 ettevõtet.   </t>
  </si>
  <si>
    <t xml:space="preserve">Keeleliselt mitmekesise töötajaskonnaga avaliku ja erasektori organisatsioonide toetamine ning teavitus eesti keelest erineva emakeelega inimestele karjäärivõimalustest avalikus sektoris </t>
  </si>
  <si>
    <t>1 teavitusprogramm ette valmistatud ja rakendatud</t>
  </si>
  <si>
    <t>Avalike teenistujate rahvuslik-keelelise koosseisu analüüs</t>
  </si>
  <si>
    <t>Alaeesmärk 3</t>
  </si>
  <si>
    <t xml:space="preserve">Uussisserändajad on Eesti ühiskonnas kohanenud </t>
  </si>
  <si>
    <t>Meede 3.1.</t>
  </si>
  <si>
    <t>Kohanemiskoolituste pakkumine uussisserändajatele</t>
  </si>
  <si>
    <t>Kohanemisprogrammi läbinud uussisserändajatel on paranenud eesti keele oskus, praktiline informeeritus ja teadmised Eesti riigi, ühiskonna ja kultuuri kohta</t>
  </si>
  <si>
    <t>Koolitatavate arv</t>
  </si>
  <si>
    <t>Kohanemisprogrammi väljatöötamine, piloteerimine ja rakendamine</t>
  </si>
  <si>
    <t>Kohanemiskoolituste väljatöötamine ja pakkumine rahvusvahelise kaitse saajatele ning kolmandatest riikidest pärit üliõpilastele ja teadlastele</t>
  </si>
  <si>
    <t>Kohanemisprogrammi rakendatakse aastast 2015</t>
  </si>
  <si>
    <t xml:space="preserve">Meede 3.2. </t>
  </si>
  <si>
    <t>Uussisserändajatele suunatud tugiteenuste arendamine</t>
  </si>
  <si>
    <t>Era-, kolmanda ja avaliku sektori koostöös toimiva uussisserändajate kohanemist toetava tugisüsteemi kujundamisega on tagatud uussisserändajatele vajaliku info kättesaadavus, toetatud sihtrühmale vajalike teenuste arendamine ning organisatsioonide koostöö. Tagatud on uussisserändajatega kokkupuutuvate organisatsioonide ametnike teadlikkus sihtrühma õigustest ja neile suunatud teenustest</t>
  </si>
  <si>
    <t>Arendatud või väljatöötatud teenuste arv</t>
  </si>
  <si>
    <t>50 tk</t>
  </si>
  <si>
    <t xml:space="preserve">Infovärava kontseptsiooni väljatöötamine ja rakendamine </t>
  </si>
  <si>
    <t>Infoväravat rakendatakse 2016.a</t>
  </si>
  <si>
    <t xml:space="preserve">Tugivõrgustike kontseptsiooni väljatöötamine ja rakendamine </t>
  </si>
  <si>
    <t>1 tugivõrgustike kontseptsioon välja töötatud 2017 ja selle sisu on rakendatud alates 2017</t>
  </si>
  <si>
    <t>Eesmärk 4</t>
  </si>
  <si>
    <t>Meede 4.1.</t>
  </si>
  <si>
    <t>Eesti keelest erineva emakeelega inimestele konkurentsivõimeliste haridusvõimaluste tagamine</t>
  </si>
  <si>
    <t>Eesti keelest erineva emakeelega üldhariduskoolides on loodud keskkond, kus pööratakse tähelepanu iga õppija arengule ja potentsiaali väljaarendamisele ning väärtustatakse isiksuse erinevusi; kutseõppes on tagatatudvene õppekeeles õppijaile täiendavad eesti keele õppe võimalused, et lõpetajad omandaksid edasiõppimiseks ja tööalaseks toimetulekuks vajaliku eesti keele oskuse; kõrghariduses  on aidatud vene emakeelega, Eestis keskhariduse omandanud üliõpilastel arendada akadeemiliseks õppeks ja hilisemaks töötamiseks vajalikku eesti keele ja erialase keele oskust</t>
  </si>
  <si>
    <t>Rahalised vahendid ette nähtud alltoodud arengukavas.</t>
  </si>
  <si>
    <t xml:space="preserve">Eesti keelest erineva emakeelega põhikooli lõpetajate osakaal, kes valdavad eesti keelt vähemalt tasemel B1 (%).
</t>
  </si>
  <si>
    <t>82%</t>
  </si>
  <si>
    <t>Eesti keele kui teise keele riigieksami vähemalt 60% tulemusega sooritanute osakaal eksamil käinud gümnaasiumilõpetajate arvust</t>
  </si>
  <si>
    <t>2012: 70,3%</t>
  </si>
  <si>
    <t xml:space="preserve">75% </t>
  </si>
  <si>
    <t>Üldhariduskoolide, lasteaedade ja kutseõppeasutuse õpetajate ja koolijuhtide koolitussüsteemi kujundamine, mh LAK-õppe koolitused, eesti keelest erineva emakeelega haridusasutuste töötajate väärtuskasvatuse koolitused, eesti keelest erineva emakeelega koolide õpetajate ja koolijuhtide erialaste pädevuste arendamine (üldise koolitussüsteemi arendamise raames)</t>
  </si>
  <si>
    <t>Eesti keelest erineva emakeelega haridusasutuste töötajatele on läbiviidud erinevad koolitused</t>
  </si>
  <si>
    <t>Tegevuse rahastamine toimub Eesti elukestva õppe strateegia "Üldharidusprogrammi" kaudu.</t>
  </si>
  <si>
    <t>Õpikäsituse rakendamist toetavate koostöövormide loomine ja toetamine</t>
  </si>
  <si>
    <t>Välja on kujunenud õpikäsituse rakendamist soodustavad koostöövõrgustikud, kus osalevad aktiivselt ka vene õppekeelega koolid. Osapoolte vastutus õpikäsituse rakendamise eest on selgemalt määratletud ja võimalused kaardistatud.</t>
  </si>
  <si>
    <t xml:space="preserve">Teadlike valikute kujundamiseks info- ja nõustamisteenuste pakkumine </t>
  </si>
  <si>
    <t>Eesti keelest erineva emakeelega koolide õpilased on saanud infot ja läbinud nõustamise</t>
  </si>
  <si>
    <t>Tegevuse rahastamine toimub Eesti elukestva õppe strateegia "Õppe- ja karjäärinõustamise programmi" kaudu.</t>
  </si>
  <si>
    <t>Eesti keelest erineva emakeelega õpilaste toetamine eesti keele omandamisel.</t>
  </si>
  <si>
    <t>Eesti keelest erineva emakeelega lastele ja noortele on tagatud kõigil haridustasemetel võimalused Eesti ühiskonnas aktiivseks toimimiseks ja õpingute jätkamiseks võrdselt eesti keelt emakeelena rääkivate õppuritega.</t>
  </si>
  <si>
    <t>Eesti keele oskuse tagamine ning eesti keelt väärtustavate hoiakute kujundamine eesti keelest erineva emakeelega üldhariduses läbi tegevuste, mis annavad võimaluse eesti keelest erineva emakeelega õpilastel koolis õpitud eesti keelt reaalelus kasutada.</t>
  </si>
  <si>
    <t>Eesti keele õppe arendamisel on toetatud haridusasutusi</t>
  </si>
  <si>
    <t>Kutsehariduse valdkonnas luuakse eesti keelest erineva emakeelega õppuritele võimalused täiendavaks eesti keele õppeks</t>
  </si>
  <si>
    <t>Eesti keeles toimuva õppe osakaal (%) kutsekeskhariduse õppekavadel (vastaval õppeaastal sisseastujatele).</t>
  </si>
  <si>
    <t>Tegevuse rahastamine toimub Eesti elukestva õppe strateegia "Tööturu ja õppe tihedama seostamise programmi" ja "Kutseharidusprogrammi" kaudu.</t>
  </si>
  <si>
    <t xml:space="preserve">Meede 4.2. </t>
  </si>
  <si>
    <t>Eesti keelele ülemineku, keelekümbluse ja lõimitud aineõppe läbiviimise ja rakendamise toetamine</t>
  </si>
  <si>
    <t>Programmis osalejad on iga-aastaselt tunnustatud üleriigiliselt või piirkondlikult; keelekümblusrühmade lapsed ja keelekümblusklasside õpilased on kaasatud aktiivset keeleõpet võimaldavatesse tunnivälistesse õppimisviisidesse; õpetajad kasutavad õppetöös keelekümblusmetoodika põhimõtteid ja on rahul tööga, väljatöötatud juhendite ja materjalide kvaliteedi ning kättesaadavusega; keelekümblus on kajastatud programmiga liitunud kohalike omavalitsuste arengukavades</t>
  </si>
  <si>
    <t>Keelekümblusprogrammi arendamine ja rakendamine</t>
  </si>
  <si>
    <t>Suureneb eesti õppekeelega koolides ja keelekümblusprogrammis osalevate eesti keelest erineva emakeelega õppijate arv.</t>
  </si>
  <si>
    <t>Institutsionaalne toetus haridusasutustele üleminekul eestikeelsele aineõppele</t>
  </si>
  <si>
    <t>Toetust on saanud haridusasutused</t>
  </si>
  <si>
    <t>Eesmärk 5</t>
  </si>
  <si>
    <t>Meede 5.1.</t>
  </si>
  <si>
    <t>Võimaluste suurendamine noorte omaalgatuseks, ühistegevuseks ja osaluseks</t>
  </si>
  <si>
    <t>Noortel on avaramad võimalused arenguks ja eneseteostuseks; eesti keelest erineva emakeelega noored saavad osa noorsootöö võimalustest, mis toetab sidusa ja loova ühiskonna kujunemist</t>
  </si>
  <si>
    <t>Organiseeritud osalusvõimaluste arv</t>
  </si>
  <si>
    <t>Noorte omaalgatuse ja ühistegevuse toetamine</t>
  </si>
  <si>
    <t>Noortel (sh eesti keelest erineva emakeelega) on rohkem teadmisi, motivatsiooni ja võimalusi, et enda ja kogu ühiskonna elu arendamiseks tegevusi ellu viia</t>
  </si>
  <si>
    <t>Tegevuse rahastamine toimub "Noortevaldkonna programmi" kaudu</t>
  </si>
  <si>
    <t>Mitmekesiste osalusvõimaluste arendamine</t>
  </si>
  <si>
    <t>Noortel on rohkem organiseeritud osalusvõimalusi, sh nendes omavalitsustes, kus valdav elanikkond on eesti keelest erineva emakeelega</t>
  </si>
  <si>
    <t>Koolitatakse ja nõustatakse noorsootöötajaid</t>
  </si>
  <si>
    <t>Eesti keelest erineva emakeelega noorsootöötajad omavad kättesaadavaid võimalusi enesetäienduseks. Läbi on viidud eesti keelest erineva emakeelega noorsootöötajate osalusel koolitused asjakohaste meetodite kasutamiseks noorsootöös ning tööks erinevate noortega.</t>
  </si>
  <si>
    <t xml:space="preserve">Meede 6.1. </t>
  </si>
  <si>
    <t>Teisest rahvusest elanike tööhõivevõime tõstmine</t>
  </si>
  <si>
    <t>Toetatud on inimeste tööturule sisenemist läbi erinevate koolitus-, teavitus- ja nõustamisteenuste, lähenedes igale inimesele, sõltumata rahvusest või keeleoskusest, individuaalselt, selgitades välja konkreetse töötu vajadused ning väljavaated tööturule sisenemiseks</t>
  </si>
  <si>
    <t>Tööturuteenustel osalejate osakaal registreeritud töötute hulgas, kelle põhiline suhtluskeel ei ole eesti keel (keskmiselt kuus)</t>
  </si>
  <si>
    <t>Tööturuteenuste osutamine</t>
  </si>
  <si>
    <t>Teenuses osalenud isikute arv</t>
  </si>
  <si>
    <t>Teenuse "Minu esimene töökoht" pakkumine - Noortele vanuses 17-29, kellel puudub või on vähene töökogemus ning puudub erialane haridus (st on alg-, -põhi- või keskharidusega), ja kes on olnud töötukassas 4 kuud töötuna arvel pakutakse teenust "Minu esimene töökoht".</t>
  </si>
  <si>
    <t xml:space="preserve">Meede 6.2. </t>
  </si>
  <si>
    <t>Eesti keelest erineva emakeelega inimeste riigikeeleoskuse parendamine</t>
  </si>
  <si>
    <t>Loodud on eesti keele õppe kvaliteedi tagamise süsteem, võimalused eesti keelt ebapiisavalt oskavatele inimestele õppes osalemiseks ning kaasaegsete eesti keele omandamiseks vajalikud digitaalsed õppevahendid</t>
  </si>
  <si>
    <t>55%</t>
  </si>
  <si>
    <t>Täiskasvanute eesti keele õppe kvaliteeditagamise- ja järelvalvesüsteemi kujundamine</t>
  </si>
  <si>
    <t>1. Loodud on toimiv koolitajate ja koolitusasutuste järelvalvesüsteem
2. Perioodi lõpuks vastavad täiskasvanute eesti keele koolitajad ja koolitusasutused kehtestatud nõuetele</t>
  </si>
  <si>
    <t>Nõrgema konkurentsivõimega eesti keelt ebapiisavalt oskavatele inimestele õppes osalemiseks tingimuste loomine, kus sihtrühmadele pakutakse nende vajadustest lähtuvalt paindlikke eesti keele õppe võimalusi õpivalmiduse ning tööturul konkurentsivõime suurendamiseks</t>
  </si>
  <si>
    <t>1) 70 % eesti keele õppe lõpetanutest tõstab oma keeleoskust  vähemalt ühe taseme võrra 
2) 60 % toetatud eesti keele õppes osalenud täiskasvanutest sooritab keeleeksami</t>
  </si>
  <si>
    <t>Tagatakse eesti keele omandamiseks vajaliku digitaalse õppevara olemasolu</t>
  </si>
  <si>
    <t>Kõik eesti keele testitavad tasemed on kaasaegse õppevaraga kaetud</t>
  </si>
  <si>
    <t>Lõimumiskava arendamis- ja administreerimiskulud</t>
  </si>
  <si>
    <t>Lõimumisvaldkonna uuringute ja arendusprojektide läbiviimine</t>
  </si>
  <si>
    <t>SA MISA tegevuskulu</t>
  </si>
  <si>
    <t>Tegevustoetus eraldatud</t>
  </si>
  <si>
    <t>ESF lõimumismeetme administreerimiskulud</t>
  </si>
  <si>
    <t>ESF progammi tegevused ellu viidud</t>
  </si>
  <si>
    <t>KÕIK KOKKU:</t>
  </si>
  <si>
    <t>Lühendid:</t>
  </si>
  <si>
    <t>RÜ - rakendusüksus</t>
  </si>
  <si>
    <t>TS - toetuse saaja</t>
  </si>
  <si>
    <t>RE - riigieelarvelised vahendid, mis ei sisalda EL-i toetusi ega nende kaasfinantseeringut</t>
  </si>
  <si>
    <t>KF - EL-i fondide ja programmide vahendite Eesti-poolne kaasfinantseering</t>
  </si>
  <si>
    <t>ESF - Euroopa Sotsiaalfondi vahendid</t>
  </si>
  <si>
    <t>AMIF - EL Varjupaiga-, Rände- ja Integratsioonifondi vahendid</t>
  </si>
  <si>
    <t>HTM - Haridus- ja Teadusministeerium</t>
  </si>
  <si>
    <t>JuM - Justiitsministeerium</t>
  </si>
  <si>
    <t>KuM - Kultuuriministeerium</t>
  </si>
  <si>
    <t>RaM - Rahandusministeerium</t>
  </si>
  <si>
    <t>SiM - Siseministeerium</t>
  </si>
  <si>
    <t>SoM - Sotsiaalministeerium</t>
  </si>
  <si>
    <t>eestlased – 49%; teised rahvused – 69%</t>
  </si>
  <si>
    <t>2011: vabatahtlik töö: erinevus 9,2 protsendipunkti;
2015: ühenduse-seltsi liige: erinevus 0 protsendipunkti</t>
  </si>
  <si>
    <t>vabatahtlik töö: erinevus 8,4 protsendipunkti;
ühenduse-seltsi liige: erinevus 0 protsendipunkti</t>
  </si>
  <si>
    <t>75/ 75 punkti</t>
  </si>
  <si>
    <t>32%</t>
  </si>
  <si>
    <t>Loodus-teadused: eesti keelest erineva õppekeelega kool  
11,2%; eestikeelne kool 18,5%;
Lugemis-oskus: 
eesti keelest erineva õppekeelega kool  kool 12,6%; eestikeelne kool 13,7%</t>
  </si>
  <si>
    <t>40%</t>
  </si>
  <si>
    <t>erinevus 1,5 korda</t>
  </si>
  <si>
    <t>eestlased - 63,6%;
teisest rahvusest elanikud - 62,1%</t>
  </si>
  <si>
    <t xml:space="preserve">Keskmiselt 3 uuringut ja arendusprojekti aastas läbi viidud </t>
  </si>
  <si>
    <t>150 000 in</t>
  </si>
  <si>
    <t>2014: 0 in</t>
  </si>
  <si>
    <t>2014: 0 tk</t>
  </si>
  <si>
    <t>Kinnipeetavad on osalenud eesti keeleõppes, sh 2016 - 710 õppekohta, 2017 - 670 õppekohta, 2018 - 670 õppekohta, 2019 - 670 õppekohta, 2020 - 670 õppekohta</t>
  </si>
  <si>
    <t>1 analüüs läbi viidud avalike teenistujate rahvusliku-keelelise koosseisu osas</t>
  </si>
  <si>
    <t>Mobiilsustoetuse pakkumine - Inimestele, kes on töötukassas vähemalt 6 kuud töötuna arvel olnud ja võtavad vastu töökoha elukohast kaugemal, makstakse 4 kuu jooksul mobiilsustoetust.</t>
  </si>
  <si>
    <t xml:space="preserve">2015: 16 katus-organisa-tsiooni ja 231  rahvusvähemuste kultuuri-seltsi </t>
  </si>
  <si>
    <t>Sum of RE 2016</t>
  </si>
  <si>
    <t>Sum of KF ESF 2016</t>
  </si>
  <si>
    <t>Sum of ESF 2016</t>
  </si>
  <si>
    <t>Sum of KF AMIF 2016</t>
  </si>
  <si>
    <t>Sum of AMIF 2016</t>
  </si>
  <si>
    <t>Sum of RE 2017</t>
  </si>
  <si>
    <t>Sum of KF ESF 2017</t>
  </si>
  <si>
    <t>Sum of ESF 2017</t>
  </si>
  <si>
    <t>Sum of KF AMIF 2017</t>
  </si>
  <si>
    <t>Sum of AMIF 2017</t>
  </si>
  <si>
    <t>Sum of RE 2018</t>
  </si>
  <si>
    <t>Sum of KF ESF 2018</t>
  </si>
  <si>
    <t>Sum of ESF 2018</t>
  </si>
  <si>
    <t>Sum of KF AMIF 2018</t>
  </si>
  <si>
    <t>Sum of AMIF 2018</t>
  </si>
  <si>
    <t>Sum of RE 2019</t>
  </si>
  <si>
    <t>Sum of KF ESF 2019</t>
  </si>
  <si>
    <t>Sum of ESF 2019</t>
  </si>
  <si>
    <t>Sum of KF AMIF 2019</t>
  </si>
  <si>
    <t>Sum of AMIF 2019</t>
  </si>
  <si>
    <t>Sum of RE 2020</t>
  </si>
  <si>
    <t>Sum of KF ESF 2020</t>
  </si>
  <si>
    <t>Sum of ESF 2020</t>
  </si>
  <si>
    <t>Sum of KF AMIF 2020</t>
  </si>
  <si>
    <t>Sum of AMIF 2020</t>
  </si>
  <si>
    <t>Kokku RE</t>
  </si>
  <si>
    <t>Kokku KF ESF</t>
  </si>
  <si>
    <t>Kokku ESF</t>
  </si>
  <si>
    <t>Kokku KF AMIF</t>
  </si>
  <si>
    <t>Kokku AMIF</t>
  </si>
  <si>
    <t>Kõik kokku</t>
  </si>
  <si>
    <t>2014-2017</t>
  </si>
  <si>
    <t>1 aasta maksumus:</t>
  </si>
  <si>
    <t>RE</t>
  </si>
  <si>
    <t>KF ESF ja AMIF</t>
  </si>
  <si>
    <t>ESF</t>
  </si>
  <si>
    <t>AMIF</t>
  </si>
  <si>
    <t xml:space="preserve">ERR-i tele- ja raadioprogrammide jälgitavus muu emakeelega inimeste hulgas. Teisest rahvusest inimeste osakaal, kes peavad ERR-i tele- ja raadioprogramme oluliseks infoallikaks.
</t>
  </si>
  <si>
    <t>määratletakse 2016. a</t>
  </si>
  <si>
    <t xml:space="preserve">17 katus-organisa-tsiooni ja 240  rahvus-vähemuste kultuuri-seltsi </t>
  </si>
  <si>
    <t xml:space="preserve">8,8% (tele-kanalid); 43,7% (raadio-kanalid); 76% (peab oluliseks)
</t>
  </si>
  <si>
    <t>11% (telekanalid); 47 % (raadiokanalid); 82% (peab oluliseks)</t>
  </si>
  <si>
    <t xml:space="preserve">5500 in </t>
  </si>
  <si>
    <t>2014: 0 org</t>
  </si>
  <si>
    <t>49 000 in</t>
  </si>
  <si>
    <t>95 000 in</t>
  </si>
  <si>
    <t>9% (tele-kanalid); 44% (raadio-kanalid); 79% (peab oluliseks)</t>
  </si>
  <si>
    <t xml:space="preserve">16 katus-organisa-tsiooni ja 231  rahvusvähemuste kultuuri-seltsi </t>
  </si>
  <si>
    <t>3500 in</t>
  </si>
  <si>
    <t>500 in</t>
  </si>
  <si>
    <t>2000 in</t>
  </si>
  <si>
    <t>3000 in</t>
  </si>
  <si>
    <t xml:space="preserve">– </t>
  </si>
  <si>
    <t>2013: 80</t>
  </si>
  <si>
    <t>2014: 51,5%</t>
  </si>
  <si>
    <t>54%</t>
  </si>
  <si>
    <t>200</t>
  </si>
  <si>
    <t>140</t>
  </si>
  <si>
    <t>155</t>
  </si>
  <si>
    <t>170</t>
  </si>
  <si>
    <t>185</t>
  </si>
  <si>
    <t xml:space="preserve">2014: 67% </t>
  </si>
  <si>
    <t>74%</t>
  </si>
  <si>
    <t>78%</t>
  </si>
  <si>
    <t>70%</t>
  </si>
  <si>
    <t>75%</t>
  </si>
  <si>
    <t>10 org</t>
  </si>
  <si>
    <t>3 org</t>
  </si>
  <si>
    <t>määratletakse 2017. a</t>
  </si>
  <si>
    <t>Iga-aastaselt on toetust saanud 26 pühapäeva kooli.</t>
  </si>
  <si>
    <t>5 500 inimest on osalenud koostöötegevustes</t>
  </si>
  <si>
    <t>eestlased -3,2; teised rahvused - 3,4 (keskmine rahvustevaheliste suhtlemisvõrgustike arv)</t>
  </si>
  <si>
    <t>Püsikontaktide tiheduse kasv tegevustes osalenud eestlaste ja teistest rahvustest isikute vahel võrreldes tegevusteeelse perioodiga</t>
  </si>
  <si>
    <t>Eesti keele tasemeeksami (tasemed A2-C1) sooritanute osakaal eksamil käinutest (%)</t>
  </si>
  <si>
    <t>2014: 0%</t>
  </si>
  <si>
    <t>8 575 in.</t>
  </si>
  <si>
    <t>7 000 in</t>
  </si>
  <si>
    <t>4 000 in</t>
  </si>
  <si>
    <t>1 100 in</t>
  </si>
  <si>
    <t>Tegevus kajastub Vägivalla ennetamise strateegia rakendusplaanis perioodil 2016-2019</t>
  </si>
  <si>
    <t>2014: 30,9%</t>
  </si>
  <si>
    <t>38%</t>
  </si>
  <si>
    <t>37%</t>
  </si>
  <si>
    <t>35%</t>
  </si>
  <si>
    <t xml:space="preserve">Eestikeelses õppes ja keelekümblusklassides osalevate eesti keelest erineva emakeelega õpilaste osakaal (%) </t>
  </si>
  <si>
    <t>2015: 28,7%</t>
  </si>
  <si>
    <t xml:space="preserve">Eestikeelsete tundide osakaal kõikidest tundidest eesti/vene ja vene õppekeelega koolide põhikooliastmes, kus ei toimu keelekümblust </t>
  </si>
  <si>
    <t>2015: 17%</t>
  </si>
  <si>
    <t>Tegevuse rahastamine toimub Üldharidusprogrammi, Keeleprogrammi ja Eesti Elukestva õppe strateegia digipööre programmi kaudu.</t>
  </si>
  <si>
    <t>Tegevuse elluviimine toimub „Heaolu arengukava 2016–2023“ alaeesmärgi 1 kaudu</t>
  </si>
  <si>
    <t>Tegevuse elluviimine toimub „Heaolu arengukava 2016-2023“ alaeesmärgi 1 kaudu. Tegevuse rahastamine toimub Euroopa Globaliseerumisfondi vahenditest(taotlus ettevalmistamisel)ja tööhõiveprogrammi eelarvest.</t>
  </si>
  <si>
    <t xml:space="preserve">Teenuses osalenud isikute arv </t>
  </si>
  <si>
    <t>Täiendavate tööturuteenuste ja töökohta loomise toetuse pakkumine Ida-Virumaa suurkoondamistele reageerimiseks, et aidata töölepiirkonnas töö kaotanud inimesi ja vähendada kõrget regionaalset tööpuudust (tegemist on eritegevusega, mida osutatakse kuni 31.12.2017).</t>
  </si>
  <si>
    <t>2016. aastal toetatud 1 projekt</t>
  </si>
  <si>
    <t>Tegevuse rahastamine toimub ERR arengukava 2016-2019 ja 2017-2020 kaudu</t>
  </si>
  <si>
    <t>Tegevuse rahastamine toimub ERR arengukava 2016-2019 ja 2017-2020 kaudu; täiendavad eelarvelised vahendid lisatakse RES 2016-2019 ja 2017-2020 väljatöötamise käigus</t>
  </si>
  <si>
    <t>Iga aastaselt on välja antud 4 arendus- ja meediapreemiat.</t>
  </si>
  <si>
    <t>Tegevuste rahastamine toimub Keeleprogrammi kaudu.</t>
  </si>
  <si>
    <t xml:space="preserve">Tegevuse rahastamine toimub Üldharidusprogrammi kaudu. </t>
  </si>
  <si>
    <t>7.2.</t>
  </si>
  <si>
    <t>7.3.</t>
  </si>
  <si>
    <t>6.1.4.</t>
  </si>
  <si>
    <t>Lisaks toetatakse MISA tegevuskulu HTM "Üldharidusprogrammi" kaudu EUR 50 500 aastas, kokku EUR 252 500 perioodil 2016-2020</t>
  </si>
  <si>
    <t>2015: eestlased - 3; teised rahvused - 3,36</t>
  </si>
  <si>
    <t>Eestlased - 3,5; teised rahvused - 4  (keskmine rahvustevaheliste suhtlemisvõrgustike arv)</t>
  </si>
  <si>
    <t>2015: eestlased - 61%; teised rahvused - 82%</t>
  </si>
  <si>
    <t>eestlased - 62%; teised rahvused - 83%</t>
  </si>
  <si>
    <t>eestlased - 63%; teised rahvused - 84%</t>
  </si>
  <si>
    <t>Keeleõpe A1 tasemel vähelõimunud püsielanikele</t>
  </si>
  <si>
    <t>2.1.7.</t>
  </si>
  <si>
    <t>Keelekursusteks on pakutud 600 õppekohta.</t>
  </si>
  <si>
    <t>2.2.4.</t>
  </si>
  <si>
    <t>E nr</t>
  </si>
  <si>
    <t>Sum of Periood kokku</t>
  </si>
  <si>
    <t>Kommunikatsioonitegevused ühiskonna väärtusorientatsioonide avatumaks muutmiseks ja ühise kvaliteetset infot sisaldava teabevälja tugevdamiseks (mh, meediaprojektidele, mitmekultuurilisusest teadlikkuse tõstmiseks, sh  rahvusvahelise kaitse saajatele suunatud projektid, ja info mitmekeelseks esitamiseks, ajakirjanike koolitused).</t>
  </si>
  <si>
    <t>Ühiseid ühiskondlikke väärtusi, eri kultuurirühmade olemust, sh pagulastemaatikat ning praktilisi tegevusi kajastavate audio-visuaalsete, trükimeedia ja internetimeedia projektide toetamine</t>
  </si>
  <si>
    <t>Ühise teabevälja edendamine läbi kultuuri, sh kultuuri- ja spordialaste kostöötegevuste eri regioonidest või keelelis-kultuurilise taustaga inimeste osalusel, sh pagulastele.</t>
  </si>
  <si>
    <t xml:space="preserve">1 nõustamis- ja infosüsteem on välja töötatud, 200 riigiasutuste, KOV-de ja kolmanda sektori asutuste töötajat koolitusel osalenud, sh arvestatakse pagulaste nõustamisvajadustega. </t>
  </si>
  <si>
    <t>Vene õppekeelega põhikooli lõpetajate osakaal, kes valdavad eesti keelt vähemalt tasemel B1 (%)</t>
  </si>
  <si>
    <t>Indikaator 4.2</t>
  </si>
  <si>
    <t>90%</t>
  </si>
  <si>
    <t>2014: 63,2%</t>
  </si>
  <si>
    <t>Telekanal ETV+ on  iga-aastaselt eetris</t>
  </si>
  <si>
    <t>ETV+  telekanali programmi tootmine ja edastamine</t>
  </si>
</sst>
</file>

<file path=xl/styles.xml><?xml version="1.0" encoding="utf-8"?>
<styleSheet xmlns="http://schemas.openxmlformats.org/spreadsheetml/2006/main">
  <numFmts count="1">
    <numFmt numFmtId="44" formatCode="_-* #,##0.00\ &quot;kr&quot;_-;\-* #,##0.00\ &quot;kr&quot;_-;_-* &quot;-&quot;??\ &quot;kr&quot;_-;_-@_-"/>
  </numFmts>
  <fonts count="20">
    <font>
      <sz val="11"/>
      <color theme="1"/>
      <name val="Calibri"/>
      <family val="2"/>
      <charset val="186"/>
      <scheme val="minor"/>
    </font>
    <font>
      <sz val="10"/>
      <color theme="1"/>
      <name val="Arial Narrow"/>
      <family val="2"/>
      <charset val="186"/>
    </font>
    <font>
      <sz val="10"/>
      <name val="Arial Narrow"/>
      <family val="2"/>
      <charset val="186"/>
    </font>
    <font>
      <b/>
      <sz val="10"/>
      <name val="Arial Narrow"/>
      <family val="2"/>
      <charset val="186"/>
    </font>
    <font>
      <sz val="10"/>
      <name val="Helv"/>
    </font>
    <font>
      <sz val="10"/>
      <name val="Arial"/>
      <family val="2"/>
      <charset val="186"/>
    </font>
    <font>
      <sz val="11"/>
      <name val="Calibri"/>
      <family val="2"/>
      <charset val="186"/>
      <scheme val="minor"/>
    </font>
    <font>
      <strike/>
      <sz val="10"/>
      <name val="Arial Narrow"/>
      <family val="2"/>
      <charset val="186"/>
    </font>
    <font>
      <sz val="11"/>
      <color theme="1"/>
      <name val="Calibri"/>
      <family val="2"/>
      <charset val="186"/>
      <scheme val="minor"/>
    </font>
    <font>
      <sz val="10"/>
      <color theme="1"/>
      <name val="Calibri"/>
      <family val="2"/>
      <charset val="186"/>
      <scheme val="minor"/>
    </font>
    <font>
      <sz val="11"/>
      <color indexed="8"/>
      <name val="Calibri"/>
      <family val="2"/>
      <charset val="186"/>
    </font>
    <font>
      <b/>
      <strike/>
      <sz val="10"/>
      <name val="Arial Narrow"/>
      <family val="2"/>
      <charset val="186"/>
    </font>
    <font>
      <i/>
      <sz val="10"/>
      <name val="Arial Narrow"/>
      <family val="2"/>
      <charset val="186"/>
    </font>
    <font>
      <b/>
      <sz val="11"/>
      <name val="Calibri"/>
      <family val="2"/>
      <charset val="186"/>
      <scheme val="minor"/>
    </font>
    <font>
      <sz val="9"/>
      <name val="Calibri"/>
      <family val="2"/>
      <charset val="186"/>
      <scheme val="minor"/>
    </font>
    <font>
      <b/>
      <sz val="9"/>
      <name val="Calibri"/>
      <family val="2"/>
      <charset val="186"/>
      <scheme val="minor"/>
    </font>
    <font>
      <u/>
      <sz val="10"/>
      <name val="Arial Narrow"/>
      <family val="2"/>
      <charset val="186"/>
    </font>
    <font>
      <sz val="9"/>
      <color theme="1"/>
      <name val="Arial Narrow"/>
      <family val="2"/>
      <charset val="186"/>
    </font>
    <font>
      <sz val="9"/>
      <color theme="1"/>
      <name val="Arial Narrow"/>
      <family val="2"/>
      <charset val="186"/>
    </font>
    <font>
      <sz val="11"/>
      <color rgb="FF1F497D"/>
      <name val="Calibri"/>
      <family val="2"/>
      <charset val="186"/>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6337778862885"/>
        <bgColor indexed="64"/>
      </patternFill>
    </fill>
    <fill>
      <patternFill patternType="solid">
        <fgColor rgb="FF66CCFF"/>
        <bgColor indexed="64"/>
      </patternFill>
    </fill>
    <fill>
      <patternFill patternType="solid">
        <fgColor theme="3" tint="0.79998168889431442"/>
        <bgColor indexed="64"/>
      </patternFill>
    </fill>
    <fill>
      <patternFill patternType="solid">
        <fgColor indexed="13"/>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5" fillId="0" borderId="0"/>
    <xf numFmtId="44" fontId="8" fillId="0" borderId="0" applyFont="0" applyFill="0" applyBorder="0" applyAlignment="0" applyProtection="0"/>
    <xf numFmtId="9" fontId="8" fillId="0" borderId="0" applyFont="0" applyFill="0" applyBorder="0" applyAlignment="0" applyProtection="0"/>
    <xf numFmtId="0" fontId="10" fillId="0" borderId="0"/>
  </cellStyleXfs>
  <cellXfs count="160">
    <xf numFmtId="0" fontId="0" fillId="0" borderId="0" xfId="0"/>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1" xfId="0" applyFont="1" applyFill="1" applyBorder="1" applyAlignment="1">
      <alignment horizontal="left" vertical="center" wrapText="1"/>
    </xf>
    <xf numFmtId="0" fontId="6" fillId="0" borderId="0" xfId="0" applyFont="1" applyFill="1" applyAlignment="1">
      <alignment horizontal="left" vertical="center"/>
    </xf>
    <xf numFmtId="0" fontId="2" fillId="0" borderId="0" xfId="0" applyFont="1" applyFill="1" applyBorder="1" applyAlignment="1">
      <alignment horizontal="lef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1" applyFont="1" applyFill="1" applyBorder="1" applyAlignment="1">
      <alignment vertical="center" wrapText="1"/>
    </xf>
    <xf numFmtId="0" fontId="2" fillId="0" borderId="1" xfId="2"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1" fontId="2" fillId="0" borderId="1" xfId="0" applyNumberFormat="1" applyFont="1" applyFill="1" applyBorder="1" applyAlignment="1">
      <alignment horizontal="left" vertical="center" wrapText="1"/>
    </xf>
    <xf numFmtId="0" fontId="2"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xf numFmtId="1" fontId="3" fillId="5" borderId="1" xfId="0" applyNumberFormat="1" applyFont="1" applyFill="1" applyBorder="1" applyAlignment="1">
      <alignment horizontal="left" vertical="center" wrapText="1"/>
    </xf>
    <xf numFmtId="1" fontId="3" fillId="6" borderId="1" xfId="0" applyNumberFormat="1" applyFont="1" applyFill="1" applyBorder="1" applyAlignment="1">
      <alignment horizontal="left"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3" fillId="4" borderId="1" xfId="0" applyFont="1" applyFill="1" applyBorder="1" applyAlignment="1">
      <alignment horizontal="left" vertical="center" wrapText="1"/>
    </xf>
    <xf numFmtId="0" fontId="9" fillId="0" borderId="0" xfId="0" applyFont="1"/>
    <xf numFmtId="3" fontId="3" fillId="3" borderId="1" xfId="0" applyNumberFormat="1"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3" fontId="2" fillId="0" borderId="1" xfId="0" applyNumberFormat="1" applyFont="1" applyBorder="1" applyAlignment="1">
      <alignment horizontal="right" vertical="center" wrapText="1"/>
    </xf>
    <xf numFmtId="3" fontId="2" fillId="4" borderId="1" xfId="0" applyNumberFormat="1" applyFont="1" applyFill="1" applyBorder="1" applyAlignment="1">
      <alignment horizontal="right" vertical="center" wrapText="1"/>
    </xf>
    <xf numFmtId="3" fontId="3" fillId="4" borderId="1" xfId="0" applyNumberFormat="1" applyFont="1" applyFill="1" applyBorder="1" applyAlignment="1">
      <alignment horizontal="right" vertical="center" wrapText="1"/>
    </xf>
    <xf numFmtId="3" fontId="2" fillId="5" borderId="1" xfId="0" applyNumberFormat="1" applyFont="1" applyFill="1" applyBorder="1" applyAlignment="1">
      <alignment horizontal="right" vertical="center" wrapText="1"/>
    </xf>
    <xf numFmtId="3" fontId="3" fillId="5" borderId="1" xfId="0" applyNumberFormat="1" applyFont="1" applyFill="1" applyBorder="1" applyAlignment="1">
      <alignment horizontal="right" vertical="center" wrapText="1"/>
    </xf>
    <xf numFmtId="3" fontId="2" fillId="2" borderId="1" xfId="2"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49" fontId="2" fillId="6"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 fontId="2" fillId="0" borderId="1" xfId="0" quotePrefix="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NumberFormat="1" applyFont="1" applyFill="1" applyBorder="1" applyAlignment="1">
      <alignment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9" fontId="3" fillId="6"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11"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Fill="1" applyBorder="1" applyAlignment="1">
      <alignment horizontal="left" vertical="center" wrapText="1" indent="1"/>
    </xf>
    <xf numFmtId="3" fontId="2"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3" fillId="0" borderId="1" xfId="0" applyFont="1" applyBorder="1" applyAlignment="1">
      <alignment vertical="center" wrapText="1"/>
    </xf>
    <xf numFmtId="3" fontId="3"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indent="1"/>
    </xf>
    <xf numFmtId="3" fontId="2" fillId="0" borderId="1" xfId="0" applyNumberFormat="1" applyFont="1" applyFill="1" applyBorder="1" applyAlignment="1">
      <alignment horizontal="left" vertical="center" wrapText="1"/>
    </xf>
    <xf numFmtId="9" fontId="2" fillId="0" borderId="1" xfId="0" applyNumberFormat="1" applyFont="1" applyFill="1" applyBorder="1" applyAlignment="1">
      <alignment horizontal="left" vertical="center" wrapText="1"/>
    </xf>
    <xf numFmtId="10" fontId="2" fillId="0" borderId="1" xfId="4" applyNumberFormat="1" applyFont="1" applyFill="1" applyBorder="1" applyAlignment="1">
      <alignment horizontal="right" vertical="center" wrapText="1"/>
    </xf>
    <xf numFmtId="9" fontId="2" fillId="0" borderId="1" xfId="4" applyFont="1" applyFill="1" applyBorder="1" applyAlignment="1">
      <alignment horizontal="left" vertical="center" wrapText="1"/>
    </xf>
    <xf numFmtId="9" fontId="2" fillId="0" borderId="1" xfId="4" applyFont="1" applyFill="1" applyBorder="1" applyAlignment="1">
      <alignment horizontal="right" vertical="center" wrapText="1"/>
    </xf>
    <xf numFmtId="1" fontId="2" fillId="0" borderId="1" xfId="4" applyNumberFormat="1" applyFont="1" applyFill="1" applyBorder="1" applyAlignment="1">
      <alignment horizontal="left" vertical="center" wrapText="1"/>
    </xf>
    <xf numFmtId="0" fontId="3" fillId="0" borderId="1" xfId="3" applyNumberFormat="1" applyFont="1" applyFill="1" applyBorder="1" applyAlignment="1">
      <alignment horizontal="left" vertical="center" wrapText="1"/>
    </xf>
    <xf numFmtId="3" fontId="3" fillId="0" borderId="1" xfId="3" applyNumberFormat="1" applyFont="1" applyFill="1" applyBorder="1" applyAlignment="1">
      <alignment horizontal="right" vertical="center" wrapText="1"/>
    </xf>
    <xf numFmtId="0" fontId="2" fillId="0" borderId="1" xfId="3" applyNumberFormat="1" applyFont="1" applyFill="1" applyBorder="1" applyAlignment="1">
      <alignment horizontal="left" vertical="center" wrapText="1"/>
    </xf>
    <xf numFmtId="3" fontId="2" fillId="0" borderId="1" xfId="3" applyNumberFormat="1" applyFont="1" applyFill="1" applyBorder="1" applyAlignment="1">
      <alignment horizontal="right" vertical="center" wrapText="1"/>
    </xf>
    <xf numFmtId="1" fontId="2" fillId="0" borderId="1" xfId="0" applyNumberFormat="1" applyFont="1" applyBorder="1" applyAlignment="1">
      <alignment horizontal="left" vertical="center" wrapText="1" indent="1"/>
    </xf>
    <xf numFmtId="0" fontId="2" fillId="0" borderId="1" xfId="3" applyNumberFormat="1" applyFont="1" applyFill="1" applyBorder="1" applyAlignment="1">
      <alignment horizontal="right" vertical="center" wrapText="1"/>
    </xf>
    <xf numFmtId="3" fontId="2" fillId="0" borderId="1" xfId="3" applyNumberFormat="1" applyFont="1" applyFill="1" applyBorder="1" applyAlignment="1">
      <alignment horizontal="left" vertical="center" wrapText="1"/>
    </xf>
    <xf numFmtId="49" fontId="2" fillId="0" borderId="1" xfId="3" applyNumberFormat="1" applyFont="1" applyFill="1" applyBorder="1" applyAlignment="1">
      <alignment horizontal="left" vertical="center" wrapText="1"/>
    </xf>
    <xf numFmtId="9" fontId="2" fillId="0" borderId="1" xfId="3" applyNumberFormat="1" applyFont="1" applyFill="1" applyBorder="1" applyAlignment="1">
      <alignment horizontal="left" vertical="center" wrapText="1"/>
    </xf>
    <xf numFmtId="0" fontId="2" fillId="0" borderId="0" xfId="0" applyFont="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9" fontId="11" fillId="4"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46" fontId="2" fillId="5" borderId="1" xfId="0" applyNumberFormat="1" applyFont="1" applyFill="1" applyBorder="1" applyAlignment="1">
      <alignment vertical="center" wrapText="1"/>
    </xf>
    <xf numFmtId="0" fontId="3" fillId="5" borderId="1" xfId="0" applyNumberFormat="1" applyFont="1" applyFill="1" applyBorder="1" applyAlignment="1">
      <alignment vertical="center" wrapText="1"/>
    </xf>
    <xf numFmtId="0" fontId="2" fillId="6" borderId="1" xfId="0" applyFont="1" applyFill="1" applyBorder="1" applyAlignment="1">
      <alignment horizontal="left" vertical="center" wrapText="1"/>
    </xf>
    <xf numFmtId="0" fontId="6" fillId="0" borderId="1" xfId="0" applyFont="1" applyBorder="1" applyAlignment="1">
      <alignment horizontal="left" vertical="center" wrapText="1"/>
    </xf>
    <xf numFmtId="0" fontId="13"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3" fontId="14" fillId="0" borderId="1" xfId="0" applyNumberFormat="1" applyFont="1" applyBorder="1" applyAlignment="1">
      <alignment horizontal="right" vertical="center" wrapText="1"/>
    </xf>
    <xf numFmtId="3" fontId="15" fillId="0" borderId="1" xfId="0" applyNumberFormat="1" applyFont="1" applyBorder="1" applyAlignment="1">
      <alignment horizontal="right" vertical="center" wrapText="1"/>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center" vertical="center" wrapText="1"/>
    </xf>
    <xf numFmtId="3" fontId="6" fillId="0" borderId="0" xfId="0" applyNumberFormat="1" applyFont="1" applyAlignment="1">
      <alignment horizontal="left" vertical="center" wrapText="1"/>
    </xf>
    <xf numFmtId="3" fontId="6" fillId="0" borderId="0" xfId="0" applyNumberFormat="1" applyFont="1" applyAlignment="1">
      <alignment horizontal="center" vertical="center" wrapText="1"/>
    </xf>
    <xf numFmtId="0" fontId="6" fillId="0" borderId="0" xfId="0" applyFont="1" applyAlignment="1">
      <alignment horizontal="left" vertical="center"/>
    </xf>
    <xf numFmtId="0" fontId="16" fillId="0" borderId="0" xfId="0" applyFont="1" applyBorder="1" applyAlignment="1">
      <alignment horizontal="left" vertical="center"/>
    </xf>
    <xf numFmtId="0" fontId="6" fillId="0" borderId="0" xfId="0" applyFont="1" applyAlignment="1">
      <alignment horizontal="center" vertical="center"/>
    </xf>
    <xf numFmtId="3" fontId="6" fillId="0" borderId="0" xfId="0" applyNumberFormat="1" applyFont="1" applyAlignment="1">
      <alignment horizontal="left" vertical="center"/>
    </xf>
    <xf numFmtId="3" fontId="6" fillId="0" borderId="0" xfId="0" applyNumberFormat="1" applyFont="1" applyAlignment="1">
      <alignment horizontal="center" vertical="center"/>
    </xf>
    <xf numFmtId="0" fontId="2" fillId="0" borderId="0" xfId="0" applyFont="1" applyBorder="1" applyAlignment="1">
      <alignment horizontal="left" vertical="center"/>
    </xf>
    <xf numFmtId="9" fontId="1" fillId="0" borderId="1" xfId="3"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3" applyNumberFormat="1" applyFont="1" applyFill="1" applyBorder="1" applyAlignment="1">
      <alignment horizontal="left" vertical="center" wrapText="1"/>
    </xf>
    <xf numFmtId="49" fontId="2" fillId="0" borderId="1" xfId="4" applyNumberFormat="1" applyFont="1" applyFill="1" applyBorder="1" applyAlignment="1">
      <alignment horizontal="left" vertical="center" wrapText="1"/>
    </xf>
    <xf numFmtId="0" fontId="2" fillId="0" borderId="1" xfId="0" applyFont="1" applyBorder="1" applyAlignment="1">
      <alignment vertical="center"/>
    </xf>
    <xf numFmtId="0" fontId="3" fillId="2" borderId="2" xfId="0" applyFont="1" applyFill="1" applyBorder="1" applyAlignment="1">
      <alignment horizontal="left" vertical="center" wrapText="1"/>
    </xf>
    <xf numFmtId="0" fontId="3" fillId="7" borderId="1" xfId="0" applyFont="1" applyFill="1" applyBorder="1" applyAlignment="1">
      <alignment horizontal="center" vertical="center" wrapText="1"/>
    </xf>
    <xf numFmtId="3" fontId="2" fillId="0" borderId="1" xfId="0" applyNumberFormat="1" applyFont="1" applyBorder="1" applyAlignment="1">
      <alignment horizontal="right" vertical="center"/>
    </xf>
    <xf numFmtId="0" fontId="2" fillId="0" borderId="0" xfId="0" applyFont="1" applyAlignment="1">
      <alignment vertical="center"/>
    </xf>
    <xf numFmtId="3" fontId="2" fillId="0" borderId="1" xfId="0" applyNumberFormat="1" applyFont="1" applyBorder="1" applyAlignment="1">
      <alignment vertical="center"/>
    </xf>
    <xf numFmtId="0" fontId="2" fillId="2" borderId="2" xfId="0" applyFont="1" applyFill="1" applyBorder="1" applyAlignment="1">
      <alignment vertical="center" wrapText="1"/>
    </xf>
    <xf numFmtId="0" fontId="2" fillId="0" borderId="1" xfId="0" applyFont="1" applyBorder="1" applyAlignment="1">
      <alignment wrapText="1"/>
    </xf>
    <xf numFmtId="0" fontId="2" fillId="0" borderId="2" xfId="0" applyFont="1" applyFill="1" applyBorder="1" applyAlignment="1">
      <alignment horizontal="center" vertical="center" wrapText="1"/>
    </xf>
    <xf numFmtId="3" fontId="2" fillId="0" borderId="0" xfId="0" applyNumberFormat="1" applyFont="1" applyAlignment="1">
      <alignment vertical="center"/>
    </xf>
    <xf numFmtId="3" fontId="2" fillId="2" borderId="2" xfId="0" applyNumberFormat="1" applyFont="1" applyFill="1" applyBorder="1" applyAlignment="1">
      <alignment horizontal="right" vertical="center" wrapText="1"/>
    </xf>
    <xf numFmtId="49" fontId="3" fillId="6" borderId="1" xfId="2" applyNumberFormat="1" applyFont="1" applyFill="1" applyBorder="1" applyAlignment="1">
      <alignment horizontal="center" vertical="center" wrapText="1"/>
    </xf>
    <xf numFmtId="3" fontId="2" fillId="2" borderId="1" xfId="0" applyNumberFormat="1" applyFont="1" applyFill="1" applyBorder="1" applyAlignment="1">
      <alignment horizontal="right" vertical="center"/>
    </xf>
    <xf numFmtId="0" fontId="17" fillId="0" borderId="0" xfId="0" applyFont="1"/>
    <xf numFmtId="0" fontId="17" fillId="0" borderId="0" xfId="0" applyFont="1" applyAlignment="1">
      <alignment horizontal="left"/>
    </xf>
    <xf numFmtId="1" fontId="17" fillId="0" borderId="0" xfId="0" applyNumberFormat="1" applyFont="1"/>
    <xf numFmtId="0" fontId="17" fillId="0" borderId="0" xfId="0" applyFont="1" applyAlignment="1">
      <alignment horizontal="center"/>
    </xf>
    <xf numFmtId="0" fontId="17" fillId="0" borderId="1" xfId="0"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left"/>
    </xf>
    <xf numFmtId="0" fontId="6" fillId="2" borderId="0" xfId="0" applyFont="1" applyFill="1" applyAlignment="1">
      <alignment horizontal="left" vertical="center"/>
    </xf>
    <xf numFmtId="0" fontId="2" fillId="2" borderId="0" xfId="0" applyFont="1" applyFill="1" applyAlignment="1">
      <alignment horizontal="center" vertical="center"/>
    </xf>
    <xf numFmtId="3" fontId="6" fillId="2" borderId="0" xfId="0" applyNumberFormat="1" applyFont="1" applyFill="1" applyAlignment="1">
      <alignment horizontal="left" vertical="center"/>
    </xf>
    <xf numFmtId="0" fontId="6" fillId="0" borderId="0" xfId="0" applyFont="1" applyBorder="1" applyAlignment="1">
      <alignment horizontal="left" vertical="center"/>
    </xf>
    <xf numFmtId="0" fontId="6" fillId="2" borderId="0" xfId="0" applyFont="1" applyFill="1" applyBorder="1" applyAlignment="1">
      <alignment horizontal="left" vertical="center"/>
    </xf>
    <xf numFmtId="49" fontId="3" fillId="6" borderId="1" xfId="0" applyNumberFormat="1" applyFont="1" applyFill="1" applyBorder="1" applyAlignment="1">
      <alignment horizontal="center" vertical="top" wrapText="1"/>
    </xf>
    <xf numFmtId="0" fontId="2" fillId="2" borderId="0" xfId="0" applyFont="1" applyFill="1" applyAlignment="1">
      <alignment horizontal="left" vertical="center"/>
    </xf>
    <xf numFmtId="0" fontId="6" fillId="0" borderId="0" xfId="0" applyFont="1" applyAlignment="1">
      <alignment vertical="center"/>
    </xf>
    <xf numFmtId="0" fontId="6" fillId="8" borderId="0" xfId="0" applyFont="1" applyFill="1" applyAlignment="1">
      <alignment horizontal="left" vertical="center"/>
    </xf>
    <xf numFmtId="0" fontId="5" fillId="0" borderId="1" xfId="0" applyFont="1" applyBorder="1" applyAlignment="1">
      <alignment wrapText="1"/>
    </xf>
    <xf numFmtId="0" fontId="5" fillId="0" borderId="0" xfId="0" applyFont="1" applyAlignment="1">
      <alignment wrapText="1"/>
    </xf>
    <xf numFmtId="0" fontId="5" fillId="0" borderId="1" xfId="0" applyFont="1" applyBorder="1" applyAlignment="1">
      <alignment vertical="center" wrapText="1"/>
    </xf>
    <xf numFmtId="0" fontId="18" fillId="0" borderId="0" xfId="0" applyFont="1"/>
    <xf numFmtId="0" fontId="18" fillId="0" borderId="0" xfId="0" pivotButton="1" applyFont="1"/>
    <xf numFmtId="0" fontId="18" fillId="0" borderId="0" xfId="0" applyFont="1" applyAlignment="1">
      <alignment horizontal="left"/>
    </xf>
    <xf numFmtId="1" fontId="18" fillId="0" borderId="0" xfId="0"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xf numFmtId="14" fontId="2" fillId="2" borderId="1" xfId="0" applyNumberFormat="1" applyFont="1" applyFill="1" applyBorder="1" applyAlignment="1">
      <alignment horizontal="left" vertical="center" wrapText="1"/>
    </xf>
    <xf numFmtId="0" fontId="19" fillId="0" borderId="0" xfId="0" applyFont="1" applyAlignment="1">
      <alignment horizontal="left" vertical="center" indent="5"/>
    </xf>
    <xf numFmtId="46" fontId="19" fillId="0" borderId="0" xfId="0" applyNumberFormat="1" applyFont="1" applyAlignment="1">
      <alignment horizontal="left" vertical="center" indent="5"/>
    </xf>
    <xf numFmtId="0" fontId="3" fillId="7" borderId="1" xfId="0" applyFont="1" applyFill="1" applyBorder="1" applyAlignment="1">
      <alignment horizontal="center" vertical="center" wrapText="1"/>
    </xf>
    <xf numFmtId="3" fontId="17" fillId="0" borderId="1" xfId="0" applyNumberFormat="1" applyFont="1" applyBorder="1" applyAlignment="1">
      <alignment horizontal="center"/>
    </xf>
    <xf numFmtId="0" fontId="17" fillId="0" borderId="1" xfId="0" applyFont="1" applyBorder="1" applyAlignment="1">
      <alignment horizontal="center"/>
    </xf>
  </cellXfs>
  <cellStyles count="6">
    <cellStyle name="Currency" xfId="3" builtinId="4"/>
    <cellStyle name="Normaallaad 3" xfId="5"/>
    <cellStyle name="Normal" xfId="0" builtinId="0"/>
    <cellStyle name="Normal 2" xfId="2"/>
    <cellStyle name="Percent" xfId="4" builtinId="5"/>
    <cellStyle name="Style 1" xfId="1"/>
  </cellStyles>
  <dxfs count="4">
    <dxf>
      <numFmt numFmtId="1" formatCode="0"/>
    </dxf>
    <dxf>
      <font>
        <sz val="9"/>
      </font>
    </dxf>
    <dxf>
      <font>
        <name val="Arial Narrow"/>
        <scheme val="none"/>
      </font>
    </dxf>
    <dxf>
      <numFmt numFmtId="1" formatCode="0"/>
    </dxf>
  </dxfs>
  <tableStyles count="0" defaultTableStyle="TableStyleMedium9" defaultPivotStyle="PivotStyleLight16"/>
  <colors>
    <mruColors>
      <color rgb="FFFF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Kasutaja" refreshedDate="42492.804453240744" createdVersion="3" refreshedVersion="3" minRefreshableVersion="3" recordCount="104">
  <cacheSource type="worksheet">
    <worksheetSource ref="B1:AQ106" sheet="rakendusplaan 2016-2020"/>
  </cacheSource>
  <cacheFields count="42">
    <cacheField name="Nr" numFmtId="0">
      <sharedItems containsBlank="1"/>
    </cacheField>
    <cacheField name="Eesmärk/Meede/Tegevus" numFmtId="0">
      <sharedItems containsBlank="1" longText="1"/>
    </cacheField>
    <cacheField name="Indikaator/Tulemus" numFmtId="0">
      <sharedItems containsBlank="1" longText="1"/>
    </cacheField>
    <cacheField name="EA liik" numFmtId="0">
      <sharedItems containsBlank="1" containsMixedTypes="1" containsNumber="1" containsInteger="1" minValue="20" maxValue="40"/>
    </cacheField>
    <cacheField name="EA konto" numFmtId="0">
      <sharedItems containsBlank="1" containsMixedTypes="1" containsNumber="1" containsInteger="1" minValue="4" maxValue="55"/>
    </cacheField>
    <cacheField name="Vastutaja (org)" numFmtId="0">
      <sharedItems containsBlank="1" count="7">
        <m/>
        <s v="KuM"/>
        <s v="SiM"/>
        <s v="HTM"/>
        <s v="JuM"/>
        <s v="RaM"/>
        <s v="SoM"/>
      </sharedItems>
    </cacheField>
    <cacheField name="Algtase" numFmtId="0">
      <sharedItems containsBlank="1"/>
    </cacheField>
    <cacheField name="Periood" numFmtId="0">
      <sharedItems containsBlank="1" containsMixedTypes="1" containsNumber="1" containsInteger="1" minValue="2016" maxValue="2016"/>
    </cacheField>
    <cacheField name="RÜ" numFmtId="0">
      <sharedItems containsBlank="1"/>
    </cacheField>
    <cacheField name="TS" numFmtId="0">
      <sharedItems containsBlank="1"/>
    </cacheField>
    <cacheField name="RE 2016" numFmtId="0">
      <sharedItems containsString="0" containsBlank="1" containsNumber="1" containsInteger="1" minValue="0" maxValue="8228229"/>
    </cacheField>
    <cacheField name="KF ESF 2016" numFmtId="0">
      <sharedItems containsString="0" containsBlank="1" containsNumber="1" minValue="0" maxValue="468348.87"/>
    </cacheField>
    <cacheField name="ESF 2016" numFmtId="0">
      <sharedItems containsString="0" containsBlank="1" containsNumber="1" minValue="0" maxValue="3029341.7149999999"/>
    </cacheField>
    <cacheField name="KF AMIF 2016" numFmtId="0">
      <sharedItems containsString="0" containsBlank="1" containsNumber="1" minValue="0" maxValue="106706.35500000001"/>
    </cacheField>
    <cacheField name="AMIF 2016" numFmtId="0">
      <sharedItems containsString="0" containsBlank="1" containsNumber="1" containsInteger="1" minValue="0" maxValue="123750"/>
    </cacheField>
    <cacheField name="2016" numFmtId="0">
      <sharedItems containsBlank="1" containsMixedTypes="1" containsNumber="1" minValue="0" maxValue="11956375.940000001"/>
    </cacheField>
    <cacheField name="RE 2017" numFmtId="0">
      <sharedItems containsString="0" containsBlank="1" containsNumber="1" containsInteger="1" minValue="0" maxValue="8162090"/>
    </cacheField>
    <cacheField name="KF ESF 2017" numFmtId="0">
      <sharedItems containsString="0" containsBlank="1" containsNumber="1" minValue="0" maxValue="510394.87800000003"/>
    </cacheField>
    <cacheField name="ESF 2017" numFmtId="0">
      <sharedItems containsString="0" containsBlank="1" containsNumber="1" minValue="0" maxValue="2892237.642"/>
    </cacheField>
    <cacheField name="KF AMIF 2017" numFmtId="0">
      <sharedItems containsString="0" containsBlank="1" containsNumber="1" containsInteger="1" minValue="0" maxValue="136250"/>
    </cacheField>
    <cacheField name="AMIF 2017" numFmtId="0">
      <sharedItems containsString="0" containsBlank="1" containsNumber="1" containsInteger="1" minValue="0" maxValue="408750"/>
    </cacheField>
    <cacheField name="2017" numFmtId="0">
      <sharedItems containsBlank="1" containsMixedTypes="1" containsNumber="1" minValue="0" maxValue="12109722.52"/>
    </cacheField>
    <cacheField name="RE 2018" numFmtId="0">
      <sharedItems containsString="0" containsBlank="1" containsNumber="1" containsInteger="1" minValue="0" maxValue="8108090"/>
    </cacheField>
    <cacheField name="KF ESF 2018" numFmtId="0">
      <sharedItems containsString="0" containsBlank="1" containsNumber="1" minValue="0" maxValue="422978.48500000004"/>
    </cacheField>
    <cacheField name="ESF 2018" numFmtId="0">
      <sharedItems containsString="0" containsBlank="1" containsNumber="1" minValue="0" maxValue="2396878.415"/>
    </cacheField>
    <cacheField name="KF AMIF 2018" numFmtId="0">
      <sharedItems containsString="0" containsBlank="1" containsNumber="1" containsInteger="1" minValue="0" maxValue="136250"/>
    </cacheField>
    <cacheField name="AMIF 2018" numFmtId="0">
      <sharedItems containsString="0" containsBlank="1" containsNumber="1" containsInteger="1" minValue="0" maxValue="408750"/>
    </cacheField>
    <cacheField name="2018" numFmtId="0">
      <sharedItems containsBlank="1" containsMixedTypes="1" containsNumber="1" minValue="0" maxValue="11472946.9"/>
    </cacheField>
    <cacheField name="RE 2019" numFmtId="0">
      <sharedItems containsString="0" containsBlank="1" containsNumber="1" containsInteger="1" minValue="0" maxValue="7976090"/>
    </cacheField>
    <cacheField name="KF ESF 2019" numFmtId="0">
      <sharedItems containsString="0" containsBlank="1" containsNumber="1" minValue="0" maxValue="374488.2"/>
    </cacheField>
    <cacheField name="ESF 2019" numFmtId="0">
      <sharedItems containsString="0" containsBlank="1" containsNumber="1" minValue="0" maxValue="2122099.7999999998"/>
    </cacheField>
    <cacheField name="KF AMIF 2019" numFmtId="0">
      <sharedItems containsString="0" containsBlank="1" containsNumber="1" containsInteger="1" minValue="0" maxValue="136250"/>
    </cacheField>
    <cacheField name="AMIF 2019" numFmtId="0">
      <sharedItems containsString="0" containsBlank="1" containsNumber="1" containsInteger="1" minValue="0" maxValue="408750"/>
    </cacheField>
    <cacheField name="2019" numFmtId="0">
      <sharedItems containsBlank="1" containsMixedTypes="1" containsNumber="1" containsInteger="1" minValue="0" maxValue="11017678"/>
    </cacheField>
    <cacheField name="RE 2020" numFmtId="0">
      <sharedItems containsString="0" containsBlank="1" containsNumber="1" containsInteger="1" minValue="0" maxValue="8061090"/>
    </cacheField>
    <cacheField name="KF ESF 2020" numFmtId="0">
      <sharedItems containsString="0" containsBlank="1" containsNumber="1" minValue="0" maxValue="382031.10509375005"/>
    </cacheField>
    <cacheField name="ESF 2020" numFmtId="0">
      <sharedItems containsString="0" containsBlank="1" containsNumber="1" minValue="0" maxValue="2164843.5955312499"/>
    </cacheField>
    <cacheField name="KF AMIF 2020" numFmtId="0">
      <sharedItems containsString="0" containsBlank="1" containsNumber="1" minValue="0" maxValue="151750.5"/>
    </cacheField>
    <cacheField name="AMIF 2020" numFmtId="0">
      <sharedItems containsString="0" containsBlank="1" containsNumber="1" minValue="0" maxValue="455251.5"/>
    </cacheField>
    <cacheField name="2020" numFmtId="0">
      <sharedItems containsBlank="1" containsMixedTypes="1" containsNumber="1" minValue="0" maxValue="11214966.700625001"/>
    </cacheField>
    <cacheField name="Periood kokku" numFmtId="0">
      <sharedItems containsString="0" containsBlank="1" containsNumber="1" minValue="0" maxValue="57771690.060625002"/>
    </cacheField>
    <cacheField name="Seos teiste valdkonna arengukavadeg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leksandr.aidarov" refreshedDate="42499.718344212961" createdVersion="4" refreshedVersion="4" minRefreshableVersion="3" recordCount="103">
  <cacheSource type="worksheet">
    <worksheetSource ref="A1:AQ104" sheet="rakendusplaan 2016-2020"/>
  </cacheSource>
  <cacheFields count="43">
    <cacheField name="E nr" numFmtId="0">
      <sharedItems containsString="0" containsBlank="1" containsNumber="1" containsInteger="1" minValue="1" maxValue="7" count="8">
        <m/>
        <n v="1"/>
        <n v="2"/>
        <n v="3"/>
        <n v="4"/>
        <n v="5"/>
        <n v="6"/>
        <n v="7"/>
      </sharedItems>
    </cacheField>
    <cacheField name="Nr" numFmtId="0">
      <sharedItems containsBlank="1"/>
    </cacheField>
    <cacheField name="Eesmärk/Meede/Tegevus" numFmtId="0">
      <sharedItems containsBlank="1" longText="1"/>
    </cacheField>
    <cacheField name="Indikaator/Tulemus" numFmtId="0">
      <sharedItems containsBlank="1" longText="1"/>
    </cacheField>
    <cacheField name="EA liik" numFmtId="0">
      <sharedItems containsBlank="1" containsMixedTypes="1" containsNumber="1" containsInteger="1" minValue="20" maxValue="40"/>
    </cacheField>
    <cacheField name="EA konto" numFmtId="0">
      <sharedItems containsBlank="1" containsMixedTypes="1" containsNumber="1" containsInteger="1" minValue="4" maxValue="55"/>
    </cacheField>
    <cacheField name="Vastutaja (org)" numFmtId="0">
      <sharedItems containsBlank="1" count="7">
        <m/>
        <s v="KuM"/>
        <s v="SiM"/>
        <s v="HTM"/>
        <s v="JuM"/>
        <s v="RaM"/>
        <s v="SoM"/>
      </sharedItems>
    </cacheField>
    <cacheField name="Algtase" numFmtId="0">
      <sharedItems containsBlank="1"/>
    </cacheField>
    <cacheField name="Periood" numFmtId="0">
      <sharedItems containsBlank="1" containsMixedTypes="1" containsNumber="1" containsInteger="1" minValue="2016" maxValue="2016"/>
    </cacheField>
    <cacheField name="RÜ" numFmtId="0">
      <sharedItems containsBlank="1"/>
    </cacheField>
    <cacheField name="TS" numFmtId="0">
      <sharedItems containsBlank="1"/>
    </cacheField>
    <cacheField name="RE 2016" numFmtId="0">
      <sharedItems containsString="0" containsBlank="1" containsNumber="1" containsInteger="1" minValue="0" maxValue="7210200"/>
    </cacheField>
    <cacheField name="KF ESF 2016" numFmtId="0">
      <sharedItems containsString="0" containsBlank="1" containsNumber="1" minValue="0" maxValue="241177.35"/>
    </cacheField>
    <cacheField name="ESF 2016" numFmtId="0">
      <sharedItems containsString="0" containsBlank="1" containsNumber="1" minValue="0" maxValue="1720217.65"/>
    </cacheField>
    <cacheField name="KF AMIF 2016" numFmtId="0">
      <sharedItems containsString="0" containsBlank="1" containsNumber="1" minValue="0" maxValue="65456.355000000003"/>
    </cacheField>
    <cacheField name="AMIF 2016" numFmtId="0">
      <sharedItems containsString="0" containsBlank="1" containsNumber="1" containsInteger="1" minValue="0" maxValue="123750"/>
    </cacheField>
    <cacheField name="2016" numFmtId="0">
      <sharedItems containsBlank="1" containsMixedTypes="1" containsNumber="1" minValue="0" maxValue="7718492"/>
    </cacheField>
    <cacheField name="RE 2017" numFmtId="0">
      <sharedItems containsString="0" containsBlank="1" containsNumber="1" containsInteger="1" minValue="0" maxValue="6973061"/>
    </cacheField>
    <cacheField name="KF ESF 2017" numFmtId="0">
      <sharedItems containsString="0" containsBlank="1" containsNumber="1" minValue="0" maxValue="311589.3"/>
    </cacheField>
    <cacheField name="ESF 2017" numFmtId="0">
      <sharedItems containsString="0" containsBlank="1" containsNumber="1" minValue="0" maxValue="1765672.7"/>
    </cacheField>
    <cacheField name="KF AMIF 2017" numFmtId="0">
      <sharedItems containsString="0" containsBlank="1" containsNumber="1" containsInteger="1" minValue="0" maxValue="100000"/>
    </cacheField>
    <cacheField name="AMIF 2017" numFmtId="0">
      <sharedItems containsString="0" containsBlank="1" containsNumber="1" containsInteger="1" minValue="0" maxValue="300000"/>
    </cacheField>
    <cacheField name="2017" numFmtId="0">
      <sharedItems containsBlank="1" containsMixedTypes="1" containsNumber="1" minValue="0" maxValue="7183061"/>
    </cacheField>
    <cacheField name="RE 2018" numFmtId="0">
      <sharedItems containsString="0" containsBlank="1" containsNumber="1" containsInteger="1" minValue="0" maxValue="6973061"/>
    </cacheField>
    <cacheField name="KF ESF 2018" numFmtId="0">
      <sharedItems containsString="0" containsBlank="1" containsNumber="1" minValue="0" maxValue="198260.85"/>
    </cacheField>
    <cacheField name="ESF 2018" numFmtId="0">
      <sharedItems containsString="0" containsBlank="1" containsNumber="1" minValue="0" maxValue="1123478.1499999999"/>
    </cacheField>
    <cacheField name="KF AMIF 2018" numFmtId="0">
      <sharedItems containsString="0" containsBlank="1" containsNumber="1" containsInteger="1" minValue="0" maxValue="100000"/>
    </cacheField>
    <cacheField name="AMIF 2018" numFmtId="0">
      <sharedItems containsString="0" containsBlank="1" containsNumber="1" containsInteger="1" minValue="0" maxValue="300000"/>
    </cacheField>
    <cacheField name="2018" numFmtId="0">
      <sharedItems containsBlank="1" containsMixedTypes="1" containsNumber="1" minValue="0" maxValue="7169061"/>
    </cacheField>
    <cacheField name="RE 2019" numFmtId="0">
      <sharedItems containsString="0" containsBlank="1" containsNumber="1" containsInteger="1" minValue="0" maxValue="6973061"/>
    </cacheField>
    <cacheField name="KF ESF 2019" numFmtId="0">
      <sharedItems containsString="0" containsBlank="1" containsNumber="1" minValue="0" maxValue="193695.15"/>
    </cacheField>
    <cacheField name="ESF 2019" numFmtId="0">
      <sharedItems containsString="0" containsBlank="1" containsNumber="1" minValue="0" maxValue="1097605.8500000001"/>
    </cacheField>
    <cacheField name="KF AMIF 2019" numFmtId="0">
      <sharedItems containsString="0" containsBlank="1" containsNumber="1" containsInteger="1" minValue="0" maxValue="100000"/>
    </cacheField>
    <cacheField name="AMIF 2019" numFmtId="0">
      <sharedItems containsString="0" containsBlank="1" containsNumber="1" containsInteger="1" minValue="0" maxValue="300000"/>
    </cacheField>
    <cacheField name="2019" numFmtId="0">
      <sharedItems containsBlank="1" containsMixedTypes="1" containsNumber="1" containsInteger="1" minValue="0" maxValue="7154061"/>
    </cacheField>
    <cacheField name="RE 2020" numFmtId="0">
      <sharedItems containsString="0" containsBlank="1" containsNumber="1" containsInteger="1" minValue="0" maxValue="6973061"/>
    </cacheField>
    <cacheField name="KF ESF 2020" numFmtId="0">
      <sharedItems containsString="0" containsBlank="1" containsNumber="1" minValue="0" maxValue="215978.10509375003"/>
    </cacheField>
    <cacheField name="ESF 2020" numFmtId="0">
      <sharedItems containsString="0" containsBlank="1" containsNumber="1" minValue="0" maxValue="1223876.5955312501"/>
    </cacheField>
    <cacheField name="KF AMIF 2020" numFmtId="0">
      <sharedItems containsString="0" containsBlank="1" containsNumber="1" minValue="0" maxValue="125000"/>
    </cacheField>
    <cacheField name="AMIF 2020" numFmtId="0">
      <sharedItems containsString="0" containsBlank="1" containsNumber="1" minValue="0" maxValue="375000"/>
    </cacheField>
    <cacheField name="2020" numFmtId="0">
      <sharedItems containsBlank="1" containsMixedTypes="1" containsNumber="1" minValue="0" maxValue="7103728"/>
    </cacheField>
    <cacheField name="Periood kokku" numFmtId="0">
      <sharedItems containsString="0" containsBlank="1" containsNumber="1" minValue="0" maxValue="36328403"/>
    </cacheField>
    <cacheField name="Seos teiste valdkonna arengukavadeg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leksandr.aidarov" refreshedDate="42499.718344675923" createdVersion="4" refreshedVersion="4" minRefreshableVersion="3" recordCount="104">
  <cacheSource type="worksheet">
    <worksheetSource ref="A1:AQ105" sheet="rakendusplaan 2016-2020"/>
  </cacheSource>
  <cacheFields count="43">
    <cacheField name="E nr" numFmtId="0">
      <sharedItems containsString="0" containsBlank="1" containsNumber="1" containsInteger="1" minValue="1" maxValue="7"/>
    </cacheField>
    <cacheField name="Nr" numFmtId="0">
      <sharedItems containsBlank="1"/>
    </cacheField>
    <cacheField name="Eesmärk/Meede/Tegevus" numFmtId="0">
      <sharedItems containsBlank="1" longText="1"/>
    </cacheField>
    <cacheField name="Indikaator/Tulemus" numFmtId="0">
      <sharedItems containsBlank="1" longText="1"/>
    </cacheField>
    <cacheField name="EA liik" numFmtId="0">
      <sharedItems containsBlank="1" containsMixedTypes="1" containsNumber="1" containsInteger="1" minValue="20" maxValue="40"/>
    </cacheField>
    <cacheField name="EA konto" numFmtId="0">
      <sharedItems containsBlank="1" containsMixedTypes="1" containsNumber="1" containsInteger="1" minValue="4" maxValue="55"/>
    </cacheField>
    <cacheField name="Vastutaja (org)" numFmtId="0">
      <sharedItems containsBlank="1" count="7">
        <m/>
        <s v="KuM"/>
        <s v="SiM"/>
        <s v="HTM"/>
        <s v="JuM"/>
        <s v="RaM"/>
        <s v="SoM"/>
      </sharedItems>
    </cacheField>
    <cacheField name="Algtase" numFmtId="0">
      <sharedItems containsBlank="1"/>
    </cacheField>
    <cacheField name="Periood" numFmtId="0">
      <sharedItems containsBlank="1" containsMixedTypes="1" containsNumber="1" containsInteger="1" minValue="2016" maxValue="2016"/>
    </cacheField>
    <cacheField name="RÜ" numFmtId="0">
      <sharedItems containsBlank="1"/>
    </cacheField>
    <cacheField name="TS" numFmtId="0">
      <sharedItems containsBlank="1"/>
    </cacheField>
    <cacheField name="RE 2016" numFmtId="0">
      <sharedItems containsString="0" containsBlank="1" containsNumber="1" containsInteger="1" minValue="0" maxValue="7210200"/>
    </cacheField>
    <cacheField name="KF ESF 2016" numFmtId="0">
      <sharedItems containsString="0" containsBlank="1" containsNumber="1" minValue="0" maxValue="241177.35"/>
    </cacheField>
    <cacheField name="ESF 2016" numFmtId="0">
      <sharedItems containsString="0" containsBlank="1" containsNumber="1" minValue="0" maxValue="1720217.65"/>
    </cacheField>
    <cacheField name="KF AMIF 2016" numFmtId="0">
      <sharedItems containsString="0" containsBlank="1" containsNumber="1" minValue="0" maxValue="65456.355000000003"/>
    </cacheField>
    <cacheField name="AMIF 2016" numFmtId="0">
      <sharedItems containsString="0" containsBlank="1" containsNumber="1" containsInteger="1" minValue="0" maxValue="123750"/>
    </cacheField>
    <cacheField name="2016" numFmtId="0">
      <sharedItems containsBlank="1" containsMixedTypes="1" containsNumber="1" minValue="0" maxValue="7718492"/>
    </cacheField>
    <cacheField name="RE 2017" numFmtId="0">
      <sharedItems containsString="0" containsBlank="1" containsNumber="1" containsInteger="1" minValue="0" maxValue="6973061"/>
    </cacheField>
    <cacheField name="KF ESF 2017" numFmtId="0">
      <sharedItems containsString="0" containsBlank="1" containsNumber="1" minValue="0" maxValue="311589.3"/>
    </cacheField>
    <cacheField name="ESF 2017" numFmtId="0">
      <sharedItems containsString="0" containsBlank="1" containsNumber="1" minValue="0" maxValue="1765672.7"/>
    </cacheField>
    <cacheField name="KF AMIF 2017" numFmtId="0">
      <sharedItems containsString="0" containsBlank="1" containsNumber="1" containsInteger="1" minValue="0" maxValue="100000"/>
    </cacheField>
    <cacheField name="AMIF 2017" numFmtId="0">
      <sharedItems containsString="0" containsBlank="1" containsNumber="1" containsInteger="1" minValue="0" maxValue="300000"/>
    </cacheField>
    <cacheField name="2017" numFmtId="0">
      <sharedItems containsBlank="1" containsMixedTypes="1" containsNumber="1" minValue="0" maxValue="7183061"/>
    </cacheField>
    <cacheField name="RE 2018" numFmtId="0">
      <sharedItems containsString="0" containsBlank="1" containsNumber="1" containsInteger="1" minValue="0" maxValue="6973061"/>
    </cacheField>
    <cacheField name="KF ESF 2018" numFmtId="0">
      <sharedItems containsString="0" containsBlank="1" containsNumber="1" minValue="0" maxValue="198260.85"/>
    </cacheField>
    <cacheField name="ESF 2018" numFmtId="0">
      <sharedItems containsString="0" containsBlank="1" containsNumber="1" minValue="0" maxValue="1123478.1499999999"/>
    </cacheField>
    <cacheField name="KF AMIF 2018" numFmtId="0">
      <sharedItems containsString="0" containsBlank="1" containsNumber="1" containsInteger="1" minValue="0" maxValue="100000"/>
    </cacheField>
    <cacheField name="AMIF 2018" numFmtId="0">
      <sharedItems containsString="0" containsBlank="1" containsNumber="1" containsInteger="1" minValue="0" maxValue="300000"/>
    </cacheField>
    <cacheField name="2018" numFmtId="0">
      <sharedItems containsBlank="1" containsMixedTypes="1" containsNumber="1" minValue="0" maxValue="7169061"/>
    </cacheField>
    <cacheField name="RE 2019" numFmtId="0">
      <sharedItems containsString="0" containsBlank="1" containsNumber="1" containsInteger="1" minValue="0" maxValue="6973061"/>
    </cacheField>
    <cacheField name="KF ESF 2019" numFmtId="0">
      <sharedItems containsString="0" containsBlank="1" containsNumber="1" minValue="0" maxValue="193695.15"/>
    </cacheField>
    <cacheField name="ESF 2019" numFmtId="0">
      <sharedItems containsString="0" containsBlank="1" containsNumber="1" minValue="0" maxValue="1097605.8500000001"/>
    </cacheField>
    <cacheField name="KF AMIF 2019" numFmtId="0">
      <sharedItems containsString="0" containsBlank="1" containsNumber="1" containsInteger="1" minValue="0" maxValue="100000"/>
    </cacheField>
    <cacheField name="AMIF 2019" numFmtId="0">
      <sharedItems containsString="0" containsBlank="1" containsNumber="1" containsInteger="1" minValue="0" maxValue="300000"/>
    </cacheField>
    <cacheField name="2019" numFmtId="0">
      <sharedItems containsBlank="1" containsMixedTypes="1" containsNumber="1" containsInteger="1" minValue="0" maxValue="7154061"/>
    </cacheField>
    <cacheField name="RE 2020" numFmtId="0">
      <sharedItems containsString="0" containsBlank="1" containsNumber="1" containsInteger="1" minValue="0" maxValue="6973061"/>
    </cacheField>
    <cacheField name="KF ESF 2020" numFmtId="0">
      <sharedItems containsString="0" containsBlank="1" containsNumber="1" minValue="0" maxValue="215978.10509375003"/>
    </cacheField>
    <cacheField name="ESF 2020" numFmtId="0">
      <sharedItems containsString="0" containsBlank="1" containsNumber="1" minValue="0" maxValue="1223876.5955312501"/>
    </cacheField>
    <cacheField name="KF AMIF 2020" numFmtId="0">
      <sharedItems containsString="0" containsBlank="1" containsNumber="1" minValue="0" maxValue="125000"/>
    </cacheField>
    <cacheField name="AMIF 2020" numFmtId="0">
      <sharedItems containsString="0" containsBlank="1" containsNumber="1" minValue="0" maxValue="375000"/>
    </cacheField>
    <cacheField name="2020" numFmtId="0">
      <sharedItems containsBlank="1" containsMixedTypes="1" containsNumber="1" minValue="0" maxValue="7103728"/>
    </cacheField>
    <cacheField name="Periood kokku" numFmtId="0">
      <sharedItems containsString="0" containsBlank="1" containsNumber="1" minValue="0" maxValue="36328403"/>
    </cacheField>
    <cacheField name="Seos teiste valdkonna arengukavadeg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
  <r>
    <m/>
    <m/>
    <m/>
    <m/>
    <m/>
    <x v="0"/>
    <m/>
    <m/>
    <m/>
    <m/>
    <m/>
    <m/>
    <m/>
    <m/>
    <m/>
    <m/>
    <m/>
    <m/>
    <m/>
    <m/>
    <m/>
    <m/>
    <m/>
    <m/>
    <m/>
    <m/>
    <m/>
    <m/>
    <m/>
    <m/>
    <m/>
    <m/>
    <m/>
    <m/>
    <m/>
    <m/>
    <m/>
    <m/>
    <m/>
    <m/>
    <m/>
    <m/>
  </r>
  <r>
    <s v="Alaeesmärk 1"/>
    <s v="Lõimumist toetavad hoiakud ja väärtused on Eesti ühiskonnas kinnistunud "/>
    <m/>
    <m/>
    <m/>
    <x v="0"/>
    <m/>
    <m/>
    <m/>
    <m/>
    <n v="7210200"/>
    <n v="51493.8"/>
    <n v="291798.2"/>
    <n v="41250"/>
    <n v="123750"/>
    <n v="7718492"/>
    <n v="6973061"/>
    <n v="9750"/>
    <n v="55250"/>
    <n v="36250"/>
    <n v="108750"/>
    <n v="7183061"/>
    <n v="6973061"/>
    <n v="7650"/>
    <n v="43350"/>
    <n v="36250"/>
    <n v="108750"/>
    <n v="7169061"/>
    <n v="6973061"/>
    <n v="5400"/>
    <n v="30600"/>
    <n v="36250"/>
    <n v="108750"/>
    <n v="7154061"/>
    <n v="6973061"/>
    <n v="3549.75"/>
    <n v="20115.25"/>
    <n v="26750.5"/>
    <n v="80251.5"/>
    <n v="7103728"/>
    <n v="36328403"/>
    <m/>
  </r>
  <r>
    <s v="Meede 1.1."/>
    <s v="Ühise inforuumi ja kultuurilisest mitmekesisusest teadlikkuse toetamine"/>
    <s v="Eesti ühiskonnas on teadvustatud ning hinnatud lõimumist toetavaid demokraatlikke ja avatud väärtuseid ning nendel baseeruvat jagatud riigiidentiteeti"/>
    <m/>
    <m/>
    <x v="0"/>
    <m/>
    <m/>
    <m/>
    <m/>
    <n v="6541902"/>
    <n v="40545"/>
    <n v="229755"/>
    <n v="25000"/>
    <n v="75000"/>
    <n v="6912202"/>
    <n v="6241984"/>
    <n v="2250"/>
    <n v="12750"/>
    <n v="25000"/>
    <n v="75000"/>
    <n v="6356984"/>
    <n v="6241984"/>
    <n v="0"/>
    <n v="0"/>
    <n v="25000"/>
    <n v="75000"/>
    <n v="6341984"/>
    <n v="6241984"/>
    <n v="0"/>
    <n v="0"/>
    <n v="25000"/>
    <n v="75000"/>
    <n v="6341984"/>
    <n v="6241984"/>
    <n v="0"/>
    <n v="0"/>
    <n v="17500"/>
    <n v="52500"/>
    <n v="6311984"/>
    <n v="32265138"/>
    <m/>
  </r>
  <r>
    <m/>
    <m/>
    <s v="Kommunikatsioonitegevustesse hõlmatud inimeste arv"/>
    <s v="x"/>
    <s v="x"/>
    <x v="0"/>
    <s v="2014: 0 in"/>
    <m/>
    <m/>
    <m/>
    <m/>
    <m/>
    <m/>
    <m/>
    <m/>
    <s v="49 000 in"/>
    <m/>
    <m/>
    <m/>
    <m/>
    <m/>
    <s v="– "/>
    <m/>
    <m/>
    <m/>
    <m/>
    <m/>
    <s v="95 000 in"/>
    <m/>
    <m/>
    <m/>
    <m/>
    <m/>
    <s v="– "/>
    <m/>
    <m/>
    <m/>
    <m/>
    <m/>
    <s v="150 000 in"/>
    <m/>
    <m/>
  </r>
  <r>
    <m/>
    <m/>
    <s v="Positiivse kultuurihoiakuga inimeste osakaal eestlaste ja teiste rahvuste seas"/>
    <s v="x"/>
    <s v="x"/>
    <x v="0"/>
    <s v="2015: eestlased - 61%; teised rahvused - 82%"/>
    <m/>
    <m/>
    <m/>
    <m/>
    <m/>
    <m/>
    <m/>
    <m/>
    <s v="– "/>
    <m/>
    <m/>
    <m/>
    <m/>
    <m/>
    <s v="eestlased - 62%; teised rahvused - 83%"/>
    <m/>
    <m/>
    <m/>
    <m/>
    <m/>
    <s v="– "/>
    <m/>
    <m/>
    <m/>
    <m/>
    <m/>
    <s v="– "/>
    <m/>
    <m/>
    <m/>
    <m/>
    <m/>
    <s v="eestlased - 63%; teised rahvused - 84%"/>
    <m/>
    <m/>
  </r>
  <r>
    <m/>
    <m/>
    <s v="ERR-i tele- ja raadioprogrammide jälgitavus muu emakeelega inimeste hulgas. Teisest rahvusest inimeste osakaal, kes peavad ERR-i tele- ja raadioprogramme oluliseks infoallikaks._x000a_"/>
    <s v="x"/>
    <s v="x"/>
    <x v="0"/>
    <s v="8,8% (tele-kanalid); 43,7% (raadio-kanalid); 76% (peab oluliseks)_x000a_"/>
    <m/>
    <m/>
    <m/>
    <m/>
    <m/>
    <m/>
    <m/>
    <m/>
    <s v="– "/>
    <m/>
    <m/>
    <m/>
    <m/>
    <m/>
    <s v="9% (tele-kanalid); 44% (raadio-kanalid); 79% (peab oluliseks)"/>
    <m/>
    <m/>
    <m/>
    <m/>
    <m/>
    <s v="– "/>
    <m/>
    <m/>
    <m/>
    <m/>
    <m/>
    <s v="– "/>
    <m/>
    <m/>
    <m/>
    <m/>
    <m/>
    <s v="11% (telekanalid); 47 % (raadiokanalid); 82% (peab oluliseks)"/>
    <m/>
    <m/>
  </r>
  <r>
    <s v="1.1.1."/>
    <s v="Kommunikatsioonitegevused ühiskonna väärtusorientatsioonide avatumaks muutmiseks ja ühise kvaliteetset infot sisaldava teabevälja tugevdamiseks (mh, meediaprojektidele, mitmekultuurilisusest teadlikkuse tõstmiseks, sh  rahvusvahelise kaitse saajatele suunatud projektid, ja info mitmekeelseks esitamiseks, ajakirjanike koolitused)."/>
    <s v="Iga-aastaselt on kommunikatsioonitegevustesse hõlmatud 18 750 inimest "/>
    <n v="20"/>
    <s v="4/5"/>
    <x v="1"/>
    <m/>
    <s v="2016-2020"/>
    <m/>
    <s v="MISA"/>
    <n v="45000"/>
    <m/>
    <m/>
    <m/>
    <m/>
    <n v="45000"/>
    <n v="45000"/>
    <m/>
    <m/>
    <m/>
    <m/>
    <n v="45000"/>
    <n v="45000"/>
    <m/>
    <m/>
    <m/>
    <m/>
    <n v="45000"/>
    <n v="45000"/>
    <m/>
    <m/>
    <m/>
    <m/>
    <n v="45000"/>
    <n v="45000"/>
    <m/>
    <m/>
    <m/>
    <m/>
    <n v="45000"/>
    <n v="225000"/>
    <s v="Tegevus kajastub Vägivalla ennetamise strateegia rakendusplaanis perioodil 2016-2019"/>
  </r>
  <r>
    <s v="1.1.2."/>
    <s v="Lõimumisvaldkonna sisuteemade avamine trüki-, tele-, raadio- ja interaktiivses meedias."/>
    <s v="1 audiovisuaalmeedia- ning sotsiaalreklaamikampaania ellu viidud"/>
    <s v="31/40"/>
    <n v="4"/>
    <x v="1"/>
    <m/>
    <s v="2016-2020"/>
    <s v="INNOVE"/>
    <s v="MISA"/>
    <m/>
    <n v="40545"/>
    <n v="229755"/>
    <m/>
    <m/>
    <n v="270300"/>
    <m/>
    <n v="2250"/>
    <n v="12750"/>
    <m/>
    <m/>
    <n v="15000"/>
    <m/>
    <m/>
    <m/>
    <m/>
    <m/>
    <n v="0"/>
    <m/>
    <m/>
    <m/>
    <m/>
    <m/>
    <n v="0"/>
    <m/>
    <m/>
    <m/>
    <m/>
    <m/>
    <n v="0"/>
    <n v="285300"/>
    <m/>
  </r>
  <r>
    <s v="1.1.3."/>
    <s v="Ühiseid ühiskondlikke väärtusi, eri kultuurirühmade olemust, sh pagulastemaatikat ning praktilisi tegevusi kajastavate audio-visuaalsete, trükimeedia ja internetimeedia projektide toetamine"/>
    <s v="läbiviidud teavitusprojektide arv 5;  projektide tarbijate arv sihtrühmas 20 000 aastas, kogu periood 100 000 in"/>
    <s v="31/40"/>
    <n v="4"/>
    <x v="2"/>
    <m/>
    <s v="2016-2020"/>
    <m/>
    <m/>
    <m/>
    <m/>
    <m/>
    <n v="25000"/>
    <n v="75000"/>
    <n v="100000"/>
    <m/>
    <m/>
    <m/>
    <n v="25000"/>
    <n v="75000"/>
    <n v="100000"/>
    <m/>
    <m/>
    <m/>
    <n v="25000"/>
    <n v="75000"/>
    <n v="100000"/>
    <m/>
    <m/>
    <m/>
    <n v="25000"/>
    <n v="75000"/>
    <n v="100000"/>
    <m/>
    <m/>
    <m/>
    <n v="17500"/>
    <n v="52500"/>
    <n v="70000"/>
    <n v="470000"/>
    <m/>
  </r>
  <r>
    <s v="1.1.4."/>
    <s v="ERR-i venekeelse raadioprogrammi tootmine ja edastamine"/>
    <s v="ERR-i poolt edastatakse venekeelseid raadiosaateid"/>
    <n v="20"/>
    <n v="4"/>
    <x v="1"/>
    <m/>
    <m/>
    <m/>
    <s v="ERR"/>
    <n v="1178694"/>
    <m/>
    <m/>
    <m/>
    <m/>
    <n v="1178694"/>
    <n v="1178700"/>
    <m/>
    <m/>
    <m/>
    <m/>
    <n v="1178700"/>
    <n v="1178700"/>
    <m/>
    <m/>
    <m/>
    <m/>
    <n v="1178700"/>
    <n v="1178700"/>
    <m/>
    <m/>
    <m/>
    <m/>
    <n v="1178700"/>
    <n v="1178700"/>
    <m/>
    <m/>
    <m/>
    <m/>
    <n v="1178700"/>
    <n v="5893494"/>
    <s v="Tegevuse rahastamine toimub ERR arengukava 2016-2019 ja 2017-2020 kaudu"/>
  </r>
  <r>
    <s v="1.1.5."/>
    <s v="ERR-i  eesti-, vene- ja ingliskeelse teabe edastamine veebis"/>
    <s v="Tagatud on ERR-i eesti-, vene- ning inglisekeelse veebiportaali töö"/>
    <n v="20"/>
    <n v="4"/>
    <x v="1"/>
    <m/>
    <m/>
    <m/>
    <s v="ERR"/>
    <n v="931035"/>
    <m/>
    <m/>
    <m/>
    <m/>
    <n v="931035"/>
    <n v="931100"/>
    <m/>
    <m/>
    <m/>
    <m/>
    <n v="931100"/>
    <n v="931100"/>
    <m/>
    <m/>
    <m/>
    <m/>
    <n v="931100"/>
    <n v="931100"/>
    <m/>
    <m/>
    <m/>
    <m/>
    <n v="931100"/>
    <n v="931100"/>
    <m/>
    <m/>
    <m/>
    <m/>
    <n v="931100"/>
    <n v="4655435"/>
    <s v="Tegevuse rahastamine toimub ERR arengukava 2016-2019 ja 2017-2020 kaudu"/>
  </r>
  <r>
    <s v="1.1.6."/>
    <s v="ERRi venekeelse telepropgrammi ettevalmistamine, tootmine ja eetrisseandmine"/>
    <s v="Venekeelse telekanali ettevalmistavad arendustegevused on läbi viidud (konkursid, pilootsaated) ning telekanal iga-aastaselt eetris"/>
    <n v="20"/>
    <n v="4"/>
    <x v="1"/>
    <m/>
    <m/>
    <m/>
    <s v="ERR"/>
    <n v="4387173"/>
    <m/>
    <m/>
    <m/>
    <m/>
    <n v="4387173"/>
    <n v="4087184"/>
    <m/>
    <m/>
    <m/>
    <m/>
    <n v="4087184"/>
    <n v="4087184"/>
    <m/>
    <m/>
    <m/>
    <m/>
    <n v="4087184"/>
    <n v="4087184"/>
    <m/>
    <m/>
    <m/>
    <m/>
    <n v="4087184"/>
    <n v="4087184"/>
    <m/>
    <m/>
    <m/>
    <m/>
    <n v="4087184"/>
    <n v="20735909"/>
    <s v="Tegevuse rahastamine toimub ERR arengukava 2016-2019 ja 2017-2020 kaudu; täiendavad eelarvelised vahendid lisatakse RES 2016-2019 ja 2017-2020 väljatöötamise käigus"/>
  </r>
  <r>
    <s v="Meede 1.2."/>
    <s v="Igapäevaste kontaktide, suhtluse ja kaasamise toetamine ühiskonnas"/>
    <s v="Toetatud on eelkõige eri piirkondades elavate ja eri keelelis-kultuurilise taustaga inimeste omavahelisi praktilisi kontakte, kaasatud on eri keelelis-kultuurilise taustaga inimesi ning nende osalusel põhinevaid organisatsioone aktiivsesse ühiskonnaellu"/>
    <m/>
    <m/>
    <x v="0"/>
    <m/>
    <m/>
    <m/>
    <m/>
    <n v="88577"/>
    <n v="10948.8"/>
    <n v="62043.199999999997"/>
    <n v="16250"/>
    <n v="48750"/>
    <n v="226569"/>
    <n v="88577"/>
    <n v="7500"/>
    <n v="42500"/>
    <n v="11250"/>
    <n v="33750"/>
    <n v="183577"/>
    <n v="88577"/>
    <n v="7650"/>
    <n v="43350"/>
    <n v="11250"/>
    <n v="33750"/>
    <n v="184577"/>
    <n v="88577"/>
    <n v="5400"/>
    <n v="30600"/>
    <n v="11250"/>
    <n v="33750"/>
    <n v="169577"/>
    <n v="88577"/>
    <n v="3549.75"/>
    <n v="20115.25"/>
    <n v="9250.5"/>
    <n v="27751.5"/>
    <n v="149244"/>
    <n v="913544"/>
    <m/>
  </r>
  <r>
    <m/>
    <m/>
    <s v="Projektidesse kaasatud inimeste arv"/>
    <s v="x"/>
    <s v="x"/>
    <x v="0"/>
    <s v="2014: 0 in"/>
    <m/>
    <m/>
    <m/>
    <m/>
    <m/>
    <m/>
    <m/>
    <m/>
    <s v="1 100 in"/>
    <m/>
    <m/>
    <m/>
    <m/>
    <m/>
    <s v="– "/>
    <m/>
    <m/>
    <m/>
    <m/>
    <m/>
    <s v="4 000 in"/>
    <m/>
    <m/>
    <m/>
    <m/>
    <m/>
    <s v="– "/>
    <m/>
    <m/>
    <m/>
    <m/>
    <m/>
    <s v="7 000 in"/>
    <m/>
    <m/>
  </r>
  <r>
    <m/>
    <m/>
    <s v="Püsikontaktide tiheduse kasv tegevustes osalenud eestlaste ja teistest rahvustest isikute vahel võrreldes tegevusteeelse perioodiga"/>
    <s v="x"/>
    <s v="x"/>
    <x v="0"/>
    <s v="2015: eestlased - 3; teised rahvused - 3,36"/>
    <m/>
    <m/>
    <m/>
    <m/>
    <m/>
    <m/>
    <m/>
    <m/>
    <s v="– "/>
    <m/>
    <m/>
    <m/>
    <m/>
    <m/>
    <s v="eestlased -3,2; teised rahvused - 3,4 (keskmine rahvustevaheliste suhtlemisvõrgustike arv)"/>
    <m/>
    <m/>
    <m/>
    <m/>
    <m/>
    <s v="– "/>
    <m/>
    <m/>
    <m/>
    <m/>
    <m/>
    <s v="– "/>
    <m/>
    <m/>
    <m/>
    <m/>
    <m/>
    <s v="Eestlased - 3,5; teised rahvused - 4  (keskmine rahvustevaheliste suhtlemisvõrgustike arv)"/>
    <m/>
    <m/>
  </r>
  <r>
    <s v="1.2.1."/>
    <s v="Kolmandate riikide kodanike kaasatust ja ühiskonna protsessides osalemist toetavad tegevused (mh kodanikeühiskonnas osalemise võimalustest teabe vahendamine, kodanikeühiskonna organisatsioonide ja nende omavahelise koostöö toetamine)"/>
    <s v="Iga aastaselt on toetatud 2 koostööprojekti"/>
    <s v="31/40"/>
    <n v="4"/>
    <x v="2"/>
    <m/>
    <s v="2016-2020"/>
    <m/>
    <m/>
    <m/>
    <m/>
    <m/>
    <n v="11250"/>
    <n v="33750"/>
    <n v="45000"/>
    <m/>
    <m/>
    <m/>
    <n v="11250"/>
    <n v="33750"/>
    <n v="45000"/>
    <m/>
    <m/>
    <m/>
    <n v="11250"/>
    <n v="33750"/>
    <n v="45000"/>
    <m/>
    <m/>
    <m/>
    <n v="11250"/>
    <n v="33750"/>
    <n v="45000"/>
    <m/>
    <m/>
    <m/>
    <n v="9250.5"/>
    <n v="27751.5"/>
    <n v="37002"/>
    <n v="217002"/>
    <m/>
  </r>
  <r>
    <s v="1.2.2."/>
    <s v="Kohalike omavalitsuste võimekuse tõstmine kolmandate riikide kodanikele info vahendamisel ja avalike teenuste pakkumisel, sh täiendkoolitused, infopäevad jne"/>
    <s v="2016. aastal toetatud 1 projekt"/>
    <s v="31/40"/>
    <n v="4"/>
    <x v="2"/>
    <m/>
    <n v="2016"/>
    <m/>
    <m/>
    <m/>
    <m/>
    <m/>
    <n v="5000"/>
    <n v="15000"/>
    <n v="20000"/>
    <m/>
    <m/>
    <m/>
    <m/>
    <m/>
    <n v="0"/>
    <m/>
    <m/>
    <m/>
    <m/>
    <m/>
    <n v="0"/>
    <m/>
    <m/>
    <m/>
    <m/>
    <m/>
    <n v="0"/>
    <m/>
    <m/>
    <m/>
    <m/>
    <m/>
    <n v="0"/>
    <n v="20000"/>
    <m/>
  </r>
  <r>
    <s v="1.2.3."/>
    <s v="Ühise teabevälja edendamine läbi kultuuri, sh kultuuri- ja spordialaste kostöötegevuste eri regioonidest või keelelis-kultuurilise taustaga inimeste osalusel, sh pagulastele."/>
    <s v="Iga aastaselt on toetatud 4 kultuuri- ja spordialast projekti"/>
    <n v="20"/>
    <n v="4"/>
    <x v="1"/>
    <m/>
    <s v="2016-2020"/>
    <s v="MISA"/>
    <m/>
    <n v="79577"/>
    <m/>
    <m/>
    <m/>
    <m/>
    <n v="79577"/>
    <n v="79577"/>
    <m/>
    <m/>
    <m/>
    <m/>
    <n v="79577"/>
    <n v="79577"/>
    <m/>
    <m/>
    <m/>
    <m/>
    <n v="79577"/>
    <n v="79577"/>
    <m/>
    <m/>
    <m/>
    <m/>
    <n v="79577"/>
    <n v="79577"/>
    <m/>
    <m/>
    <m/>
    <m/>
    <n v="79577"/>
    <n v="397885"/>
    <m/>
  </r>
  <r>
    <s v="1.2.4."/>
    <s v="Ühiskonna protsessides osalemist toetavad tegevused (sh kodanikeühiskonna organisatsioonide ja nende omavahelise koostöö toetamine)"/>
    <s v="5 500 inimest on osalenud koostöötegevustes"/>
    <s v="31/40"/>
    <n v="4"/>
    <x v="1"/>
    <m/>
    <s v="2016-2020"/>
    <s v="INNOVE"/>
    <s v="MISA"/>
    <m/>
    <n v="10948.8"/>
    <n v="62043.199999999997"/>
    <m/>
    <m/>
    <n v="72992"/>
    <m/>
    <n v="7500"/>
    <n v="42500"/>
    <m/>
    <m/>
    <n v="50000"/>
    <m/>
    <n v="7650"/>
    <n v="43350"/>
    <m/>
    <m/>
    <n v="51000"/>
    <m/>
    <n v="5400"/>
    <n v="30600"/>
    <m/>
    <m/>
    <n v="36000"/>
    <m/>
    <n v="3549.75"/>
    <n v="20115.25"/>
    <m/>
    <m/>
    <n v="23665"/>
    <n v="233657"/>
    <m/>
  </r>
  <r>
    <s v="1.2.5."/>
    <s v="Lõimumisvaldkonna arenduspreemiad"/>
    <s v="Iga aastaselt on välja antud 4 arendus- ja meediapreemiat."/>
    <n v="20"/>
    <n v="4"/>
    <x v="1"/>
    <m/>
    <s v="2016-2020"/>
    <s v="MISA"/>
    <m/>
    <n v="9000"/>
    <m/>
    <m/>
    <m/>
    <m/>
    <n v="9000"/>
    <n v="9000"/>
    <m/>
    <m/>
    <m/>
    <m/>
    <n v="9000"/>
    <n v="9000"/>
    <m/>
    <m/>
    <m/>
    <m/>
    <n v="9000"/>
    <n v="9000"/>
    <m/>
    <m/>
    <m/>
    <m/>
    <n v="9000"/>
    <n v="9000"/>
    <m/>
    <m/>
    <m/>
    <m/>
    <n v="9000"/>
    <n v="45000"/>
    <m/>
  </r>
  <r>
    <s v="Meede 1.3."/>
    <s v="Etniliste vähemuste emakeele ja kultuuri toetamine"/>
    <s v="Tagatud on Eesti ühiskonna mitmekultuurilisus ja eri rahvuskultuure esindavate organisatsioonide jätkusuutlik toimimine ja süsteemne arendamine"/>
    <m/>
    <m/>
    <x v="0"/>
    <m/>
    <m/>
    <m/>
    <m/>
    <n v="579721"/>
    <n v="0"/>
    <n v="0"/>
    <n v="0"/>
    <n v="0"/>
    <n v="579721"/>
    <n v="642500"/>
    <n v="0"/>
    <n v="0"/>
    <n v="0"/>
    <n v="0"/>
    <n v="642500"/>
    <n v="642500"/>
    <n v="0"/>
    <n v="0"/>
    <n v="0"/>
    <n v="0"/>
    <n v="642500"/>
    <n v="642500"/>
    <n v="0"/>
    <n v="0"/>
    <n v="0"/>
    <n v="0"/>
    <n v="642500"/>
    <n v="642500"/>
    <n v="0"/>
    <n v="0"/>
    <n v="0"/>
    <n v="0"/>
    <n v="642500"/>
    <n v="3149721"/>
    <m/>
  </r>
  <r>
    <m/>
    <m/>
    <s v="Toetatud katusorganisatsioonide ja nende allliikmetest rahvusvähemuste kultuuriseltside arv"/>
    <s v="x"/>
    <s v="x"/>
    <x v="0"/>
    <s v="2015: 16 katus-organisa-tsiooni ja 231  rahvusvähemuste kultuuri-seltsi "/>
    <m/>
    <m/>
    <m/>
    <m/>
    <m/>
    <m/>
    <m/>
    <m/>
    <s v="16 katus-organisa-tsiooni ja 231  rahvusvähemuste kultuuri-seltsi "/>
    <m/>
    <m/>
    <m/>
    <m/>
    <m/>
    <s v="16 katus-organisa-tsiooni ja 231  rahvusvähemuste kultuuri-seltsi "/>
    <m/>
    <m/>
    <m/>
    <m/>
    <m/>
    <s v="17 katus-organisa-tsiooni ja 240  rahvus-vähemuste kultuuri-seltsi "/>
    <m/>
    <m/>
    <m/>
    <m/>
    <m/>
    <s v="17 katus-organisa-tsiooni ja 240  rahvus-vähemuste kultuuri-seltsi "/>
    <m/>
    <m/>
    <m/>
    <m/>
    <m/>
    <s v="17 katus-organisa-tsiooni ja 240  rahvus-vähemuste kultuuri-seltsi "/>
    <m/>
    <m/>
  </r>
  <r>
    <m/>
    <m/>
    <s v="Tegevustes osalenud teisest rahvusest isikute teadlikkus oma etnilisest identiteedist (emakeeleoskus, rahvuskultuuri tundmine, valmisolek neid rohkem tundma õppida)"/>
    <s v="x"/>
    <s v="x"/>
    <x v="0"/>
    <s v="määratletakse 2016. a"/>
    <m/>
    <m/>
    <m/>
    <m/>
    <m/>
    <m/>
    <m/>
    <m/>
    <s v="määratletakse 2016. a"/>
    <m/>
    <m/>
    <m/>
    <m/>
    <m/>
    <s v="määratletakse 2016. a"/>
    <m/>
    <m/>
    <m/>
    <m/>
    <m/>
    <s v="määratletakse 2016. a"/>
    <m/>
    <m/>
    <m/>
    <m/>
    <m/>
    <s v="määratletakse 2016. a"/>
    <m/>
    <m/>
    <m/>
    <m/>
    <m/>
    <s v="määratletakse 2016. a"/>
    <m/>
    <m/>
  </r>
  <r>
    <m/>
    <m/>
    <s v="Toetatud pühapäevakoolide arv"/>
    <s v="x"/>
    <s v="x"/>
    <x v="0"/>
    <s v="2013: 26 kooli"/>
    <m/>
    <m/>
    <m/>
    <m/>
    <m/>
    <m/>
    <m/>
    <m/>
    <s v="26 kooli"/>
    <m/>
    <m/>
    <m/>
    <m/>
    <m/>
    <s v="26 kooli"/>
    <m/>
    <m/>
    <m/>
    <m/>
    <m/>
    <s v="26 kooli"/>
    <m/>
    <m/>
    <m/>
    <m/>
    <m/>
    <s v="26 kooli"/>
    <m/>
    <m/>
    <m/>
    <m/>
    <m/>
    <s v="26 kooli"/>
    <m/>
    <m/>
  </r>
  <r>
    <s v="1.3.1."/>
    <s v="Rahvusvähemuste kultuuriühingute toetusprogramm"/>
    <s v="Iga-aastaselt on toetatud on 60 organisatsiooni"/>
    <n v="20"/>
    <n v="4"/>
    <x v="1"/>
    <m/>
    <s v="2016-2020"/>
    <s v="MISA"/>
    <m/>
    <n v="90500"/>
    <m/>
    <m/>
    <m/>
    <m/>
    <n v="90500"/>
    <n v="90500"/>
    <m/>
    <m/>
    <m/>
    <m/>
    <n v="90500"/>
    <n v="90500"/>
    <m/>
    <m/>
    <m/>
    <m/>
    <n v="90500"/>
    <n v="90500"/>
    <m/>
    <m/>
    <m/>
    <m/>
    <n v="90500"/>
    <n v="90500"/>
    <m/>
    <m/>
    <m/>
    <m/>
    <n v="90500"/>
    <n v="452500"/>
    <m/>
  </r>
  <r>
    <s v="1.3.2."/>
    <s v="Rahvuskultuuriseltside tegevuse baasrahastamine "/>
    <s v="Iga-aastaselt on toetatud orienteeruvalt 230 organisatsiooni"/>
    <n v="20"/>
    <n v="4"/>
    <x v="1"/>
    <m/>
    <s v="2016-2020"/>
    <s v="MISA"/>
    <m/>
    <n v="321330"/>
    <m/>
    <m/>
    <m/>
    <m/>
    <n v="321330"/>
    <n v="370000"/>
    <m/>
    <m/>
    <m/>
    <m/>
    <n v="370000"/>
    <n v="370000"/>
    <m/>
    <m/>
    <m/>
    <m/>
    <n v="370000"/>
    <n v="370000"/>
    <m/>
    <m/>
    <m/>
    <m/>
    <n v="370000"/>
    <n v="370000"/>
    <m/>
    <m/>
    <m/>
    <m/>
    <n v="370000"/>
    <n v="1801330"/>
    <m/>
  </r>
  <r>
    <s v="1.3.3."/>
    <s v="Eesti mitmekultuurilisust tähistatavate ürituste läbiviimine"/>
    <s v="Iga-aastaselt on läbi viidud 3 üritust"/>
    <n v="20"/>
    <n v="4"/>
    <x v="1"/>
    <m/>
    <s v="2016-2020"/>
    <s v="MISA"/>
    <m/>
    <n v="8391"/>
    <m/>
    <m/>
    <m/>
    <m/>
    <n v="8391"/>
    <n v="22500"/>
    <m/>
    <m/>
    <m/>
    <m/>
    <n v="22500"/>
    <n v="22500"/>
    <m/>
    <m/>
    <m/>
    <m/>
    <n v="22500"/>
    <n v="22500"/>
    <m/>
    <m/>
    <m/>
    <m/>
    <n v="22500"/>
    <n v="22500"/>
    <m/>
    <m/>
    <m/>
    <m/>
    <n v="22500"/>
    <n v="98391"/>
    <m/>
  </r>
  <r>
    <s v="1.3.4."/>
    <s v="Pühapäevakoolide baasrahastamine"/>
    <s v="Iga-aastaselt on toetust saanud 26 pühapäeva kooli."/>
    <n v="20"/>
    <n v="4"/>
    <x v="3"/>
    <m/>
    <m/>
    <s v="MISA"/>
    <m/>
    <n v="136000"/>
    <m/>
    <m/>
    <m/>
    <m/>
    <n v="136000"/>
    <n v="136000"/>
    <m/>
    <m/>
    <m/>
    <m/>
    <n v="136000"/>
    <n v="136000"/>
    <m/>
    <m/>
    <m/>
    <m/>
    <n v="136000"/>
    <n v="136000"/>
    <m/>
    <m/>
    <m/>
    <m/>
    <n v="136000"/>
    <n v="136000"/>
    <m/>
    <m/>
    <m/>
    <m/>
    <n v="136000"/>
    <n v="680000"/>
    <m/>
  </r>
  <r>
    <s v="1.3.5."/>
    <s v="Pühapäevakoolide koostöövõrgustiku toimimise  toetamine"/>
    <s v="Toimib pühapäevakoolide õpetajate liit, mis koordineerib pühapäevakoolide võrgustikku"/>
    <n v="20"/>
    <n v="4"/>
    <x v="3"/>
    <m/>
    <m/>
    <s v="Püha-päeva-koolide Õpetajate Ühendus"/>
    <m/>
    <m/>
    <m/>
    <m/>
    <m/>
    <m/>
    <n v="0"/>
    <m/>
    <m/>
    <m/>
    <m/>
    <m/>
    <n v="0"/>
    <m/>
    <m/>
    <m/>
    <m/>
    <m/>
    <n v="0"/>
    <m/>
    <m/>
    <m/>
    <m/>
    <m/>
    <n v="0"/>
    <m/>
    <m/>
    <m/>
    <m/>
    <m/>
    <n v="0"/>
    <n v="0"/>
    <m/>
  </r>
  <r>
    <s v="1.3.6."/>
    <s v="Rahvuskultuuriseltside pühapäevakoolide õpetajate täienduskoolitus"/>
    <s v="Iga-aastaselt on pühapäevakoolide õpetajate täiendkoolitusel osalenud 75 õpetajat."/>
    <n v="20"/>
    <n v="4"/>
    <x v="3"/>
    <m/>
    <m/>
    <s v="MISA"/>
    <m/>
    <n v="23500"/>
    <m/>
    <m/>
    <m/>
    <m/>
    <n v="23500"/>
    <n v="23500"/>
    <m/>
    <m/>
    <m/>
    <m/>
    <n v="23500"/>
    <n v="23500"/>
    <m/>
    <m/>
    <m/>
    <m/>
    <n v="23500"/>
    <n v="23500"/>
    <m/>
    <m/>
    <m/>
    <m/>
    <n v="23500"/>
    <n v="23500"/>
    <m/>
    <m/>
    <m/>
    <m/>
    <n v="23500"/>
    <n v="117500"/>
    <m/>
  </r>
  <r>
    <s v="Alaeesmärk 2"/>
    <s v="Vähelõimunud välispäritolu taustaga püsielanike osalemine ühiskonnas on kasvanud Eesti kodakondsuse omandamise ning uute ühiskondlike teadmiste kaudu"/>
    <m/>
    <m/>
    <m/>
    <x v="0"/>
    <m/>
    <m/>
    <m/>
    <m/>
    <n v="403029"/>
    <n v="241177.35"/>
    <n v="1720217.65"/>
    <n v="0"/>
    <n v="0"/>
    <n v="2364424"/>
    <n v="499029"/>
    <n v="311589.3"/>
    <n v="1765672.7"/>
    <n v="0"/>
    <n v="0"/>
    <n v="2576291"/>
    <n v="535029"/>
    <n v="198260.85"/>
    <n v="1123478.1499999999"/>
    <n v="0"/>
    <n v="0"/>
    <n v="1856768"/>
    <n v="403029"/>
    <n v="150545.70000000001"/>
    <n v="853092.29999999993"/>
    <n v="0"/>
    <n v="0"/>
    <n v="1406667"/>
    <n v="403029"/>
    <n v="137770.79999999999"/>
    <n v="780701.2"/>
    <n v="0"/>
    <n v="0"/>
    <n v="1321501"/>
    <n v="9525651"/>
    <m/>
  </r>
  <r>
    <s v="Meede 2.1."/>
    <s v="Võimaluste loomine vähelõimunud välispäritolutaustaga Eesti püsielanike ühiskondliku aktiivsuse suurendamiseks ja lõimumise toetamiseks"/>
    <s v="Koolitustel osalenud ning infot tarbinud püsielanikud on omandanud naturaliseerumiseks ning avalikkussfääris, kodanikuühiskonnas ja tööturul osalemiseks vajalikke teadmisi ja oskusi"/>
    <m/>
    <m/>
    <x v="0"/>
    <m/>
    <m/>
    <m/>
    <m/>
    <n v="327029"/>
    <n v="229177.35"/>
    <n v="1652217.65"/>
    <n v="0"/>
    <n v="0"/>
    <n v="2208424"/>
    <n v="393029"/>
    <n v="301089.3"/>
    <n v="1706172.7"/>
    <n v="0"/>
    <n v="0"/>
    <n v="2400291"/>
    <n v="459029"/>
    <n v="195260.85"/>
    <n v="1106478.1499999999"/>
    <n v="0"/>
    <n v="0"/>
    <n v="1760768"/>
    <n v="327029"/>
    <n v="147545.70000000001"/>
    <n v="836092.29999999993"/>
    <n v="0"/>
    <n v="0"/>
    <n v="1310667"/>
    <n v="327029"/>
    <n v="135520.79999999999"/>
    <n v="767951.2"/>
    <n v="0"/>
    <n v="0"/>
    <n v="1230501"/>
    <n v="8910651"/>
    <m/>
  </r>
  <r>
    <m/>
    <m/>
    <s v="Lõimumisprogrammis osalenud isikute arv"/>
    <s v="x"/>
    <s v="x"/>
    <x v="0"/>
    <s v="2014: 0 in"/>
    <m/>
    <m/>
    <m/>
    <m/>
    <m/>
    <m/>
    <m/>
    <m/>
    <s v="500 in"/>
    <m/>
    <m/>
    <m/>
    <m/>
    <m/>
    <s v="– "/>
    <m/>
    <m/>
    <m/>
    <m/>
    <m/>
    <s v="3500 in"/>
    <m/>
    <m/>
    <m/>
    <m/>
    <m/>
    <s v="– "/>
    <m/>
    <m/>
    <m/>
    <m/>
    <m/>
    <s v="5500 in "/>
    <m/>
    <m/>
  </r>
  <r>
    <m/>
    <m/>
    <s v="Lõimumisprogrammi läbinute osakaal, kellel on paranenud eesti keele oskus, praktiline informeeritus  ja teadmised Eesti riigi, ühiskonna ja kultuuri kohta"/>
    <s v="x"/>
    <s v="x"/>
    <x v="0"/>
    <s v="2014: 0%"/>
    <m/>
    <m/>
    <m/>
    <m/>
    <m/>
    <m/>
    <m/>
    <m/>
    <s v="määratletakse 2016. a"/>
    <m/>
    <m/>
    <m/>
    <m/>
    <m/>
    <s v="määratletakse 2016. a"/>
    <m/>
    <m/>
    <m/>
    <m/>
    <m/>
    <s v="määratletakse 2016. a"/>
    <m/>
    <m/>
    <m/>
    <m/>
    <m/>
    <s v="määratletakse 2016. a"/>
    <m/>
    <m/>
    <m/>
    <m/>
    <m/>
    <s v="määratletakse 2016. a"/>
    <m/>
    <m/>
  </r>
  <r>
    <m/>
    <m/>
    <s v="Nõustamissüsteemi kasutanud isikute arv"/>
    <s v="x"/>
    <s v="x"/>
    <x v="0"/>
    <s v="2014: 0 in"/>
    <m/>
    <m/>
    <m/>
    <m/>
    <m/>
    <m/>
    <m/>
    <m/>
    <s v="2000 in"/>
    <m/>
    <m/>
    <m/>
    <m/>
    <m/>
    <s v="– "/>
    <m/>
    <m/>
    <m/>
    <m/>
    <m/>
    <s v="3000 in"/>
    <m/>
    <m/>
    <m/>
    <m/>
    <m/>
    <s v="– "/>
    <m/>
    <m/>
    <m/>
    <m/>
    <m/>
    <s v="5500 in "/>
    <m/>
    <m/>
  </r>
  <r>
    <s v="2.1.1."/>
    <s v="Paindliku lõimumisprogrammi (1. naturaliseerumiseks ettevalmistumise koolitus; 2. mitteformaalne keeleõpe, 3. kultuurikümblus; 4. kultuurikoolitus) väljatöötamine ja pakkumine"/>
    <s v="rakendatud 3 koolitusmoodulit ja tegutsenud 150 eesti keele ja kultuuri klubi"/>
    <s v="31/40"/>
    <n v="4"/>
    <x v="1"/>
    <m/>
    <m/>
    <s v="INNOVE"/>
    <s v="MISA"/>
    <m/>
    <n v="194097"/>
    <n v="1099883"/>
    <m/>
    <m/>
    <n v="1293980"/>
    <m/>
    <n v="194696.85"/>
    <n v="1103282.1499999999"/>
    <m/>
    <m/>
    <n v="1297979"/>
    <m/>
    <n v="148050"/>
    <n v="838950"/>
    <m/>
    <m/>
    <n v="987000"/>
    <m/>
    <n v="116317.05"/>
    <n v="659129.94999999995"/>
    <m/>
    <m/>
    <n v="775447"/>
    <m/>
    <n v="106786.5"/>
    <n v="605123.5"/>
    <m/>
    <m/>
    <n v="711910"/>
    <n v="5066316"/>
    <m/>
  </r>
  <r>
    <s v="2.1.2."/>
    <s v="Nõustamis- ja infosüsteemi väljatöötamine ja rakendamine "/>
    <s v="1 nõustamis- ja infosüsteem on välja töötatud, 200 riigiasutuste, KOV-de ja kolmanda sektori asutuste töötajat koolitusel osalenud, sh arvestatakse pagulaste nõustamisvajadustega. "/>
    <s v="31/40"/>
    <n v="4"/>
    <x v="1"/>
    <m/>
    <m/>
    <s v="INNOVE"/>
    <s v="MISA"/>
    <m/>
    <n v="32080.35"/>
    <n v="181788.65"/>
    <m/>
    <m/>
    <n v="213869"/>
    <m/>
    <n v="31682.25"/>
    <n v="179532.75"/>
    <m/>
    <m/>
    <n v="211215"/>
    <m/>
    <n v="44210.85"/>
    <n v="250528.15"/>
    <m/>
    <m/>
    <n v="294739"/>
    <m/>
    <n v="31228.649999999998"/>
    <n v="176962.35"/>
    <m/>
    <m/>
    <n v="208191"/>
    <m/>
    <n v="28734.3"/>
    <n v="162827.69999999998"/>
    <m/>
    <m/>
    <n v="191561.99999999997"/>
    <n v="1119576"/>
    <m/>
  </r>
  <r>
    <s v="2.1.3."/>
    <s v="Ühiskondlikku sidusust toetavad programmid noortele"/>
    <s v="Programmis osaleb 50 noort aastas. Peale programmi lõpetamist leiavad 70% osalejatest, et neil on Eestis võimalusi oma potentsiaali realiseerimiseks"/>
    <s v="31/40"/>
    <n v="4"/>
    <x v="1"/>
    <m/>
    <m/>
    <s v="INNOVE"/>
    <s v="MISA"/>
    <m/>
    <n v="3000"/>
    <n v="17000"/>
    <m/>
    <m/>
    <n v="20000"/>
    <m/>
    <n v="3000"/>
    <n v="17000"/>
    <m/>
    <m/>
    <n v="20000"/>
    <m/>
    <n v="3000"/>
    <n v="17000"/>
    <m/>
    <m/>
    <n v="20000"/>
    <m/>
    <m/>
    <m/>
    <m/>
    <m/>
    <n v="0"/>
    <m/>
    <m/>
    <m/>
    <m/>
    <m/>
    <n v="0"/>
    <n v="60000"/>
    <m/>
  </r>
  <r>
    <s v="2.1.4."/>
    <s v="Keeleõpe A1 tasemel vähelõimunud püsielanikele"/>
    <s v="Keelekursusteks on pakutud 600 õppekohta."/>
    <n v="20"/>
    <m/>
    <x v="1"/>
    <m/>
    <m/>
    <m/>
    <m/>
    <n v="0"/>
    <m/>
    <m/>
    <m/>
    <m/>
    <n v="0"/>
    <n v="66000"/>
    <m/>
    <m/>
    <m/>
    <m/>
    <n v="66000"/>
    <n v="132000"/>
    <m/>
    <m/>
    <m/>
    <m/>
    <n v="132000"/>
    <n v="0"/>
    <m/>
    <m/>
    <m/>
    <m/>
    <n v="0"/>
    <n v="0"/>
    <m/>
    <m/>
    <m/>
    <m/>
    <n v="0"/>
    <n v="198000"/>
    <m/>
  </r>
  <r>
    <s v="2.1.5."/>
    <s v="Keeleõpe noortelaagrites- ja peredes"/>
    <s v="Iga-aastaselt on toetatud 32 noore osalemist pereõppes ja/või keelelaagris; Iga-aastaselt on toetatud 165 noore osalemist noortelaagrite eesti keele programmilistes tegevustes."/>
    <n v="20"/>
    <n v="4"/>
    <x v="1"/>
    <m/>
    <m/>
    <s v="MISA"/>
    <m/>
    <n v="45000"/>
    <m/>
    <m/>
    <m/>
    <m/>
    <n v="45000"/>
    <n v="45000"/>
    <m/>
    <m/>
    <m/>
    <m/>
    <n v="45000"/>
    <n v="45000"/>
    <m/>
    <m/>
    <m/>
    <m/>
    <n v="45000"/>
    <n v="45000"/>
    <m/>
    <m/>
    <m/>
    <m/>
    <n v="45000"/>
    <n v="45000"/>
    <m/>
    <m/>
    <m/>
    <m/>
    <n v="45000"/>
    <n v="225000"/>
    <m/>
  </r>
  <r>
    <s v="2.1.6."/>
    <s v="Kinnipeetavate eesti keele õpe "/>
    <s v="Kinnipeetavad on osalenud eesti keeleõppes, sh 2016 - 710 õppekohta, 2017 - 670 õppekohta, 2018 - 670 õppekohta, 2019 - 670 õppekohta, 2020 - 670 õppekohta"/>
    <n v="20"/>
    <n v="5"/>
    <x v="4"/>
    <m/>
    <m/>
    <m/>
    <m/>
    <n v="282029"/>
    <m/>
    <m/>
    <m/>
    <m/>
    <n v="282029"/>
    <n v="282029"/>
    <m/>
    <m/>
    <m/>
    <m/>
    <n v="282029"/>
    <n v="282029"/>
    <m/>
    <m/>
    <m/>
    <m/>
    <n v="282029"/>
    <n v="282029"/>
    <m/>
    <m/>
    <m/>
    <m/>
    <n v="282029"/>
    <n v="282029"/>
    <m/>
    <m/>
    <m/>
    <m/>
    <n v="282029"/>
    <n v="1410145"/>
    <m/>
  </r>
  <r>
    <s v="2.1.7."/>
    <s v="Tehnilised vahendid etendusasutustes ja muuseumides muukeelse info paremaks ja efektiivsemaks edastamiseks "/>
    <s v="Hangitud tehniliste vahendite kasutajate arv - 20 000 inimest"/>
    <s v="31/40"/>
    <n v="4"/>
    <x v="1"/>
    <m/>
    <m/>
    <s v="INNOVE"/>
    <s v="MISA"/>
    <m/>
    <m/>
    <n v="353546"/>
    <m/>
    <m/>
    <n v="353546"/>
    <m/>
    <n v="71710.2"/>
    <n v="406357.8"/>
    <m/>
    <m/>
    <n v="478068"/>
    <m/>
    <m/>
    <m/>
    <m/>
    <m/>
    <n v="0"/>
    <m/>
    <m/>
    <m/>
    <m/>
    <m/>
    <n v="0"/>
    <m/>
    <m/>
    <m/>
    <m/>
    <m/>
    <n v="0"/>
    <n v="831614"/>
    <m/>
  </r>
  <r>
    <s v="Meede 2.2."/>
    <s v="Õiguslik-poliitilise lõimumise toetamine"/>
    <s v="Tugevnenud on ühist riigiidentiteeti, demokraatlikke ja kodanikeväärtusi toetavad hoiakud vähelõimunud Eesti püsielanike seas ja suurenenud on nende õigusteadlikkus. Samuti on teiste riikide ja määratlemata kodakondsusega isikud teadlikud Eesti kodakondsuse saamise võimalustest"/>
    <m/>
    <m/>
    <x v="0"/>
    <m/>
    <m/>
    <m/>
    <m/>
    <n v="51000"/>
    <n v="4500"/>
    <n v="25500"/>
    <n v="0"/>
    <n v="0"/>
    <n v="81000"/>
    <n v="51000"/>
    <n v="3000"/>
    <n v="17000"/>
    <n v="0"/>
    <n v="0"/>
    <n v="71000"/>
    <n v="51000"/>
    <n v="3000"/>
    <n v="17000"/>
    <n v="0"/>
    <n v="0"/>
    <n v="71000"/>
    <n v="51000"/>
    <n v="3000"/>
    <n v="17000"/>
    <n v="0"/>
    <n v="0"/>
    <n v="71000"/>
    <n v="51000"/>
    <n v="2250"/>
    <n v="12750"/>
    <n v="0"/>
    <n v="0"/>
    <n v="66000"/>
    <n v="360000"/>
    <m/>
  </r>
  <r>
    <m/>
    <m/>
    <s v="Teavitust läbiviivate organisatsioonide arv"/>
    <s v="x"/>
    <s v="x"/>
    <x v="0"/>
    <s v="2013: 1 org"/>
    <m/>
    <m/>
    <m/>
    <m/>
    <m/>
    <m/>
    <m/>
    <m/>
    <s v="1 org"/>
    <m/>
    <m/>
    <m/>
    <m/>
    <m/>
    <s v="1 org"/>
    <m/>
    <m/>
    <m/>
    <m/>
    <m/>
    <s v="1 org"/>
    <m/>
    <m/>
    <m/>
    <m/>
    <m/>
    <s v="1 org"/>
    <m/>
    <m/>
    <m/>
    <m/>
    <m/>
    <s v="1 org"/>
    <m/>
    <m/>
  </r>
  <r>
    <m/>
    <m/>
    <s v="Tegevustes osalenud määratlemata kodakondsusega inimeste ja teiste kolmandate riikide kodanike teadlikkus Eesti kodakondsuse omamisega kaasnevatest õigustest ja kohustustest"/>
    <s v="x"/>
    <s v="x"/>
    <x v="0"/>
    <s v="määratletakse 2016. a"/>
    <m/>
    <m/>
    <m/>
    <m/>
    <m/>
    <m/>
    <m/>
    <m/>
    <s v="määratletakse 2016. a"/>
    <m/>
    <m/>
    <m/>
    <m/>
    <m/>
    <s v="määratletakse 2016. a"/>
    <m/>
    <m/>
    <m/>
    <m/>
    <m/>
    <s v="määratletakse 2016. a"/>
    <m/>
    <m/>
    <m/>
    <m/>
    <m/>
    <s v="määratletakse 2016. a"/>
    <m/>
    <m/>
    <m/>
    <m/>
    <m/>
    <s v="määratletakse 2016. a"/>
    <m/>
    <m/>
  </r>
  <r>
    <m/>
    <m/>
    <s v="Toetatud organisatsioonide arv"/>
    <s v="x"/>
    <s v="x"/>
    <x v="0"/>
    <s v="2013: 2 org"/>
    <m/>
    <m/>
    <m/>
    <m/>
    <m/>
    <m/>
    <m/>
    <m/>
    <s v="2 org"/>
    <m/>
    <m/>
    <m/>
    <m/>
    <m/>
    <s v="2 org"/>
    <m/>
    <m/>
    <m/>
    <m/>
    <m/>
    <s v="2 org"/>
    <m/>
    <m/>
    <m/>
    <m/>
    <m/>
    <s v="2 org"/>
    <m/>
    <m/>
    <m/>
    <m/>
    <m/>
    <s v="2 org"/>
    <m/>
    <m/>
  </r>
  <r>
    <s v="2.2.1."/>
    <s v="Määratlemata kodakondsusega inimestele ja teistele kolmandate riikide kodanikele suunatud info levitamine kodakondsuse taotlemise võimaluste kohta"/>
    <s v="Määratlemata kodakondsusega inimestele ja teistele kolmandate riikide kodanikele suunatud info levitamine kodakondsuse taotlemise võimaluste kohta, töötab tasuta infotelefon ja veebileht www.meis.ee/kodanik"/>
    <s v="31/40"/>
    <n v="4"/>
    <x v="1"/>
    <m/>
    <m/>
    <s v="INNOVE"/>
    <s v="MISA"/>
    <m/>
    <n v="4500"/>
    <n v="25500"/>
    <m/>
    <m/>
    <n v="30000"/>
    <m/>
    <n v="3000"/>
    <n v="17000"/>
    <m/>
    <m/>
    <n v="20000"/>
    <m/>
    <n v="3000"/>
    <n v="17000"/>
    <m/>
    <m/>
    <n v="20000"/>
    <m/>
    <n v="3000"/>
    <n v="17000"/>
    <m/>
    <m/>
    <n v="20000"/>
    <m/>
    <n v="2250"/>
    <n v="12750"/>
    <m/>
    <m/>
    <n v="15000"/>
    <n v="105000"/>
    <m/>
  </r>
  <r>
    <s v="2.2.2."/>
    <s v="Määratlemata kodakondsusega isikuid teavitatakse (nii kirjalikult, s.h. elektrooniliselt kui ka suuliselt) Eesti kodakondsuse saamise võimalustest"/>
    <s v="Määratlemata kodakondsusega isikuid on teavitatud nii kirjalikult kui suuliselt PPA igapäevase töö raames"/>
    <m/>
    <m/>
    <x v="2"/>
    <m/>
    <m/>
    <s v="PPA"/>
    <m/>
    <m/>
    <m/>
    <m/>
    <m/>
    <m/>
    <n v="0"/>
    <m/>
    <m/>
    <m/>
    <m/>
    <m/>
    <n v="0"/>
    <m/>
    <m/>
    <m/>
    <m/>
    <m/>
    <n v="0"/>
    <m/>
    <m/>
    <m/>
    <m/>
    <m/>
    <n v="0"/>
    <m/>
    <m/>
    <m/>
    <m/>
    <m/>
    <n v="0"/>
    <n v="0"/>
    <s v="eraldi eelarvet ei ole, kulud kaetakse jooksvalt PPA eelarvest"/>
  </r>
  <r>
    <s v="2.2.3."/>
    <s v="Projektide läbiviimine Eesti kodakondsuse väärtustamise, inimõiguste tunnustamise ja ühise riigiidentiteedi tekkimise toetamiseks"/>
    <s v="2 organisatsiooni toetatud iga-aastaselt  "/>
    <s v="31/40"/>
    <n v="4"/>
    <x v="1"/>
    <m/>
    <m/>
    <s v="MISA"/>
    <m/>
    <n v="21000"/>
    <m/>
    <m/>
    <m/>
    <m/>
    <n v="21000"/>
    <n v="21000"/>
    <m/>
    <m/>
    <m/>
    <m/>
    <n v="21000"/>
    <n v="21000"/>
    <m/>
    <m/>
    <m/>
    <m/>
    <n v="21000"/>
    <n v="21000"/>
    <m/>
    <m/>
    <m/>
    <m/>
    <n v="21000"/>
    <n v="21000"/>
    <m/>
    <m/>
    <m/>
    <m/>
    <n v="21000"/>
    <n v="105000"/>
    <m/>
  </r>
  <r>
    <s v="2.2.4."/>
    <s v="Vene keelde tõlgitud õigusakti tekstide kaasajastamine "/>
    <s v="52 õigusakti, mis on tõlgitud vene keelde, kaasajastatakse 2020. aastaks"/>
    <n v="20"/>
    <n v="5"/>
    <x v="4"/>
    <m/>
    <m/>
    <m/>
    <m/>
    <n v="5000"/>
    <m/>
    <m/>
    <m/>
    <m/>
    <n v="5000"/>
    <n v="5000"/>
    <m/>
    <m/>
    <m/>
    <m/>
    <n v="5000"/>
    <n v="5000"/>
    <m/>
    <m/>
    <m/>
    <m/>
    <n v="5000"/>
    <n v="5000"/>
    <m/>
    <m/>
    <m/>
    <m/>
    <n v="5000"/>
    <n v="5000"/>
    <m/>
    <m/>
    <m/>
    <m/>
    <n v="5000"/>
    <n v="25000"/>
    <m/>
  </r>
  <r>
    <s v="2.2.5."/>
    <s v="Tasuta õigusabi pakkumine vene keeles "/>
    <s v="veebipõhist nõustamist on osutatud 1020 isikule aastas (isikud võivad korduda)"/>
    <n v="20"/>
    <n v="5"/>
    <x v="4"/>
    <m/>
    <m/>
    <m/>
    <m/>
    <n v="25000"/>
    <m/>
    <m/>
    <m/>
    <m/>
    <n v="25000"/>
    <n v="25000"/>
    <m/>
    <m/>
    <m/>
    <m/>
    <n v="25000"/>
    <n v="25000"/>
    <m/>
    <m/>
    <m/>
    <m/>
    <n v="25000"/>
    <n v="25000"/>
    <m/>
    <m/>
    <m/>
    <m/>
    <n v="25000"/>
    <n v="25000"/>
    <m/>
    <m/>
    <m/>
    <m/>
    <n v="25000"/>
    <n v="125000"/>
    <m/>
  </r>
  <r>
    <s v="Meede 2.3."/>
    <s v="Võrdse kohtlemise edendamine tööturul"/>
    <s v="Suurenenud on organisatsioonide teadlikkus tööturul rahvuspõhise eraldatuse vähendamise vajalikkusest"/>
    <m/>
    <m/>
    <x v="0"/>
    <m/>
    <m/>
    <m/>
    <m/>
    <n v="25000"/>
    <n v="7500"/>
    <n v="42500"/>
    <n v="0"/>
    <n v="0"/>
    <n v="75000"/>
    <n v="55000"/>
    <n v="7500"/>
    <n v="42500"/>
    <n v="0"/>
    <n v="0"/>
    <n v="105000"/>
    <n v="25000"/>
    <n v="0"/>
    <n v="0"/>
    <n v="0"/>
    <n v="0"/>
    <n v="25000"/>
    <n v="25000"/>
    <n v="0"/>
    <n v="0"/>
    <n v="0"/>
    <n v="0"/>
    <n v="25000"/>
    <n v="25000"/>
    <n v="0"/>
    <n v="0"/>
    <n v="0"/>
    <n v="0"/>
    <n v="25000"/>
    <n v="255000"/>
    <m/>
  </r>
  <r>
    <m/>
    <m/>
    <s v="Tegevustesse hõlmatud organisatsioonide arv"/>
    <s v="x"/>
    <s v="x"/>
    <x v="0"/>
    <s v="2014: 0 org"/>
    <m/>
    <m/>
    <m/>
    <m/>
    <m/>
    <m/>
    <m/>
    <m/>
    <s v="3 org"/>
    <m/>
    <m/>
    <m/>
    <m/>
    <m/>
    <s v="10 org"/>
    <m/>
    <m/>
    <m/>
    <m/>
    <m/>
    <s v="10 org"/>
    <m/>
    <m/>
    <m/>
    <m/>
    <m/>
    <s v="10 org"/>
    <m/>
    <m/>
    <m/>
    <m/>
    <m/>
    <s v="10 org"/>
    <m/>
    <m/>
  </r>
  <r>
    <s v="2.3.1."/>
    <s v="Võrdse kohtlemise edendamisega töökollektiivides seotud projektide elluviimise kaasrahastamine"/>
    <s v="1 projekt ettevalmistatud ja rakendatud. Projektis osales: 20 vähelõimunud püsielanikust töötut, 20 mentorit ja 10 ettevõtet.   "/>
    <n v="20"/>
    <n v="4"/>
    <x v="1"/>
    <m/>
    <m/>
    <s v="MISA"/>
    <m/>
    <n v="25000"/>
    <m/>
    <m/>
    <m/>
    <m/>
    <n v="25000"/>
    <n v="25000"/>
    <m/>
    <m/>
    <m/>
    <m/>
    <n v="25000"/>
    <n v="25000"/>
    <m/>
    <m/>
    <m/>
    <m/>
    <n v="25000"/>
    <n v="25000"/>
    <m/>
    <m/>
    <m/>
    <m/>
    <n v="25000"/>
    <n v="25000"/>
    <m/>
    <m/>
    <m/>
    <m/>
    <n v="25000"/>
    <n v="125000"/>
    <m/>
  </r>
  <r>
    <s v="2.3.2."/>
    <s v="Keeleliselt mitmekesise töötajaskonnaga avaliku ja erasektori organisatsioonide toetamine ning teavitus eesti keelest erineva emakeelega inimestele karjäärivõimalustest avalikus sektoris "/>
    <s v="1 teavitusprogramm ette valmistatud ja rakendatud"/>
    <s v="31/40"/>
    <n v="4"/>
    <x v="1"/>
    <m/>
    <m/>
    <s v="INNOVE"/>
    <s v="MISA"/>
    <m/>
    <n v="7500"/>
    <n v="42500"/>
    <m/>
    <m/>
    <n v="50000"/>
    <m/>
    <n v="7500"/>
    <n v="42500"/>
    <m/>
    <m/>
    <n v="50000"/>
    <m/>
    <m/>
    <m/>
    <m/>
    <m/>
    <n v="0"/>
    <m/>
    <m/>
    <m/>
    <m/>
    <m/>
    <n v="0"/>
    <m/>
    <m/>
    <m/>
    <m/>
    <m/>
    <n v="0"/>
    <n v="100000"/>
    <m/>
  </r>
  <r>
    <s v="2.3.3."/>
    <s v="Avalike teenistujate rahvuslik-keelelise koosseisu analüüs"/>
    <s v="1 analüüs läbi viidud avalike teenistujate rahvusliku-keelelise koosseisu osas"/>
    <n v="40"/>
    <n v="55"/>
    <x v="5"/>
    <m/>
    <m/>
    <m/>
    <m/>
    <m/>
    <m/>
    <m/>
    <m/>
    <m/>
    <n v="0"/>
    <n v="30000"/>
    <m/>
    <m/>
    <m/>
    <m/>
    <n v="30000"/>
    <m/>
    <m/>
    <m/>
    <m/>
    <m/>
    <n v="0"/>
    <m/>
    <m/>
    <m/>
    <m/>
    <m/>
    <n v="0"/>
    <m/>
    <m/>
    <m/>
    <m/>
    <m/>
    <n v="0"/>
    <n v="30000"/>
    <m/>
  </r>
  <r>
    <s v="Alaeesmärk 3"/>
    <s v="Uussisserändajad on Eesti ühiskonnas kohanenud "/>
    <m/>
    <m/>
    <m/>
    <x v="0"/>
    <m/>
    <m/>
    <m/>
    <m/>
    <n v="0"/>
    <n v="147164.07"/>
    <n v="855748.51500000001"/>
    <n v="65456.355000000003"/>
    <n v="0"/>
    <n v="1068368.94"/>
    <n v="0"/>
    <n v="160853.62799999997"/>
    <n v="911503.89199999999"/>
    <n v="100000"/>
    <n v="300000"/>
    <n v="1472357.52"/>
    <n v="0"/>
    <n v="192216.685"/>
    <n v="1089228.2149999999"/>
    <n v="100000"/>
    <n v="300000"/>
    <n v="1681444.9"/>
    <n v="0"/>
    <n v="193695.15"/>
    <n v="1097605.8500000001"/>
    <n v="100000"/>
    <n v="300000"/>
    <n v="1691301"/>
    <n v="0"/>
    <n v="215978.10509375003"/>
    <n v="1223876.5955312501"/>
    <n v="125000"/>
    <n v="375000"/>
    <n v="1939854.7006250001"/>
    <n v="7853327.0606249999"/>
    <m/>
  </r>
  <r>
    <s v="Meede 3.1."/>
    <s v="Kohanemiskoolituste pakkumine uussisserändajatele"/>
    <s v="Kohanemisprogrammi läbinud uussisserändajatel on paranenud eesti keele oskus, praktiline informeeritus ja teadmised Eesti riigi, ühiskonna ja kultuuri kohta"/>
    <m/>
    <m/>
    <x v="0"/>
    <m/>
    <m/>
    <m/>
    <m/>
    <n v="0"/>
    <n v="123985.07249999999"/>
    <n v="724400.86250000005"/>
    <n v="65456.355000000003"/>
    <n v="0"/>
    <n v="913842.29"/>
    <n v="0"/>
    <n v="95458.427999999985"/>
    <n v="540931.09199999995"/>
    <n v="100000"/>
    <n v="300000"/>
    <n v="1036389.5199999999"/>
    <n v="0"/>
    <n v="134321.535"/>
    <n v="761155.36499999999"/>
    <n v="100000"/>
    <n v="300000"/>
    <n v="1295476.8999999999"/>
    <n v="0"/>
    <n v="133300"/>
    <n v="755366"/>
    <n v="100000"/>
    <n v="300000"/>
    <n v="1288666"/>
    <n v="0"/>
    <n v="155582.95509375003"/>
    <n v="881636.74553125014"/>
    <n v="125000"/>
    <n v="375000"/>
    <n v="1537219.7006250001"/>
    <n v="6071594.4106249996"/>
    <m/>
  </r>
  <r>
    <m/>
    <m/>
    <s v="Koolitatavate arv"/>
    <s v="x"/>
    <s v="x"/>
    <x v="0"/>
    <s v="2014: 0 in"/>
    <m/>
    <m/>
    <m/>
    <m/>
    <m/>
    <m/>
    <m/>
    <m/>
    <s v="määratletakse 2017. a"/>
    <m/>
    <m/>
    <m/>
    <m/>
    <m/>
    <s v="määratletakse 2017. a"/>
    <m/>
    <m/>
    <m/>
    <m/>
    <m/>
    <s v="määratletakse 2017. a"/>
    <m/>
    <m/>
    <m/>
    <m/>
    <m/>
    <s v="määratletakse 2017. a"/>
    <m/>
    <m/>
    <m/>
    <m/>
    <m/>
    <s v="8 575 in."/>
    <m/>
    <m/>
  </r>
  <r>
    <s v="3.1.1."/>
    <s v="Kohanemisprogrammi väljatöötamine, piloteerimine ja rakendamine"/>
    <s v="Kohanemisprogrammi läbinud uussisserändajatel on paranenud eesti keele oskus, praktiline informeeritus ja teadmised Eesti riigi, ühiskonna ja kultuuri kohta"/>
    <s v="31/40"/>
    <s v="4/5"/>
    <x v="2"/>
    <m/>
    <m/>
    <s v="INNOVE"/>
    <m/>
    <m/>
    <n v="123985.07249999999"/>
    <n v="702582.07750000001"/>
    <m/>
    <m/>
    <n v="826567.15"/>
    <m/>
    <n v="95458.427999999985"/>
    <n v="540931.09199999995"/>
    <m/>
    <m/>
    <n v="636389.5199999999"/>
    <m/>
    <n v="134321.535"/>
    <n v="761155.36499999999"/>
    <m/>
    <m/>
    <n v="895476.9"/>
    <m/>
    <n v="133300"/>
    <n v="755366"/>
    <m/>
    <m/>
    <n v="888666"/>
    <m/>
    <n v="155582.95509375003"/>
    <n v="881636.74553125014"/>
    <m/>
    <m/>
    <n v="1037219.7006250002"/>
    <n v="4284319.2706249999"/>
    <m/>
  </r>
  <r>
    <s v="3.1.2."/>
    <s v="Kohanemiskoolituste väljatöötamine ja pakkumine rahvusvahelise kaitse saajatele ning kolmandatest riikidest pärit üliõpilastele ja teadlastele"/>
    <s v="Kohanemisprogrammi rakendatakse aastast 2015"/>
    <s v="31/40"/>
    <s v="4/5"/>
    <x v="2"/>
    <m/>
    <m/>
    <m/>
    <s v="SiM"/>
    <m/>
    <m/>
    <n v="21818.785"/>
    <n v="65456.355000000003"/>
    <m/>
    <n v="87275.14"/>
    <m/>
    <m/>
    <m/>
    <n v="100000"/>
    <n v="300000"/>
    <n v="400000"/>
    <m/>
    <m/>
    <m/>
    <n v="100000"/>
    <n v="300000"/>
    <n v="400000"/>
    <m/>
    <m/>
    <m/>
    <n v="100000"/>
    <n v="300000"/>
    <n v="400000"/>
    <m/>
    <m/>
    <m/>
    <n v="125000"/>
    <n v="375000"/>
    <n v="500000"/>
    <n v="1787275.1400000001"/>
    <m/>
  </r>
  <r>
    <s v="Meede 3.2. "/>
    <s v="Uussisserändajatele suunatud tugiteenuste arendamine"/>
    <s v="Era-, kolmanda ja avaliku sektori koostöös toimiva uussisserändajate kohanemist toetava tugisüsteemi kujundamisega on tagatud uussisserändajatele vajaliku info kättesaadavus, toetatud sihtrühmale vajalike teenuste arendamine ning organisatsioonide koostöö. Tagatud on uussisserändajatega kokkupuutuvate organisatsioonide ametnike teadlikkus sihtrühma õigustest ja neile suunatud teenustest"/>
    <m/>
    <m/>
    <x v="0"/>
    <m/>
    <m/>
    <m/>
    <m/>
    <n v="0"/>
    <n v="23178.997499999998"/>
    <n v="131347.6525"/>
    <n v="0"/>
    <n v="0"/>
    <n v="154526.65"/>
    <n v="0"/>
    <n v="65395.199999999997"/>
    <n v="370572.79999999999"/>
    <n v="0"/>
    <n v="0"/>
    <n v="435968"/>
    <n v="0"/>
    <n v="57895.15"/>
    <n v="328072.84999999998"/>
    <n v="0"/>
    <n v="0"/>
    <n v="385968"/>
    <n v="0"/>
    <n v="60395.15"/>
    <n v="342239.85"/>
    <n v="0"/>
    <n v="0"/>
    <n v="402635"/>
    <n v="0"/>
    <n v="60395.15"/>
    <n v="342239.85"/>
    <n v="0"/>
    <n v="0"/>
    <n v="402635"/>
    <n v="1781732.65"/>
    <m/>
  </r>
  <r>
    <m/>
    <m/>
    <s v="Arendatud või väljatöötatud teenuste arv"/>
    <s v="x"/>
    <s v="x"/>
    <x v="0"/>
    <s v="2014: 0 tk"/>
    <m/>
    <m/>
    <m/>
    <m/>
    <m/>
    <m/>
    <m/>
    <m/>
    <s v="määratletakse 2017. a"/>
    <m/>
    <m/>
    <m/>
    <m/>
    <m/>
    <s v="määratletakse 2017. a"/>
    <m/>
    <m/>
    <m/>
    <m/>
    <m/>
    <s v="määratletakse 2017. a"/>
    <m/>
    <m/>
    <m/>
    <m/>
    <m/>
    <s v="määratletakse 2017. a"/>
    <m/>
    <m/>
    <m/>
    <m/>
    <m/>
    <s v="50 tk"/>
    <m/>
    <m/>
  </r>
  <r>
    <s v="3.2.1."/>
    <s v="Infovärava kontseptsiooni väljatöötamine ja rakendamine "/>
    <s v="Infoväravat rakendatakse 2016.a"/>
    <s v="31/40"/>
    <s v="4/5"/>
    <x v="2"/>
    <m/>
    <m/>
    <s v="INNOVE"/>
    <m/>
    <m/>
    <n v="12153.997499999999"/>
    <n v="68872.652499999997"/>
    <m/>
    <m/>
    <n v="81026.649999999994"/>
    <m/>
    <n v="6937.65"/>
    <n v="39313.35"/>
    <m/>
    <m/>
    <n v="46251"/>
    <m/>
    <n v="6937.65"/>
    <n v="39313.35"/>
    <m/>
    <m/>
    <n v="46251"/>
    <m/>
    <n v="6937.65"/>
    <n v="39313.35"/>
    <m/>
    <m/>
    <n v="46251"/>
    <m/>
    <n v="6937.65"/>
    <n v="39313.35"/>
    <m/>
    <m/>
    <n v="46251"/>
    <n v="266030.65000000002"/>
    <m/>
  </r>
  <r>
    <s v="3.2.2."/>
    <s v="Tugivõrgustike kontseptsiooni väljatöötamine ja rakendamine "/>
    <s v="1 tugivõrgustike kontseptsioon välja töötatud 2017 ja selle sisu on rakendatud alates 2017"/>
    <s v="31/40"/>
    <s v="4/5"/>
    <x v="2"/>
    <m/>
    <m/>
    <s v="INNOVE"/>
    <m/>
    <m/>
    <n v="11025"/>
    <n v="62475"/>
    <m/>
    <m/>
    <n v="73500"/>
    <m/>
    <n v="58457.549999999996"/>
    <n v="331259.45"/>
    <m/>
    <m/>
    <n v="389717"/>
    <m/>
    <n v="50957.5"/>
    <n v="288759.5"/>
    <m/>
    <m/>
    <n v="339717"/>
    <m/>
    <n v="53457.5"/>
    <n v="302926.5"/>
    <m/>
    <m/>
    <n v="356384"/>
    <m/>
    <n v="53457.5"/>
    <n v="302926.5"/>
    <m/>
    <m/>
    <n v="356384"/>
    <n v="1515702"/>
    <m/>
  </r>
  <r>
    <s v="Eesmärk 4"/>
    <s v="Eesti keelest erineva emakeelega õpilastel on konkurentsivõimelised teadmised ja oskused eestikeelses keskkonnas toimetulekuks"/>
    <m/>
    <m/>
    <m/>
    <x v="0"/>
    <m/>
    <m/>
    <m/>
    <m/>
    <n v="0"/>
    <n v="0"/>
    <n v="0"/>
    <n v="0"/>
    <n v="0"/>
    <n v="0"/>
    <n v="0"/>
    <n v="0"/>
    <n v="0"/>
    <n v="0"/>
    <n v="0"/>
    <n v="0"/>
    <n v="0"/>
    <n v="0"/>
    <n v="0"/>
    <n v="0"/>
    <n v="0"/>
    <n v="0"/>
    <n v="0"/>
    <n v="0"/>
    <n v="0"/>
    <n v="0"/>
    <n v="0"/>
    <n v="0"/>
    <n v="0"/>
    <n v="0"/>
    <n v="0"/>
    <n v="0"/>
    <n v="0"/>
    <n v="0"/>
    <n v="0"/>
    <s v="Meetmete 4.1. ja 4.2. kogumaksumus perioodil 2018-2020 on kokku ca ... miljonit eurot"/>
  </r>
  <r>
    <s v="Meede 4.1."/>
    <s v="Eesti keelest erineva emakeelega inimestele konkurentsivõimeliste haridusvõimaluste tagamine"/>
    <s v="Eesti keelest erineva emakeelega üldhariduskoolides on loodud keskkond, kus pööratakse tähelepanu iga õppija arengule ja potentsiaali väljaarendamisele ning väärtustatakse isiksuse erinevusi; kutseõppes on tagatatudvene õppekeeles õppijaile täiendavad eesti keele õppe võimalused, et lõpetajad omandaksid edasiõppimiseks ja tööalaseks toimetulekuks vajaliku eesti keele oskuse; kõrghariduses  on aidatud vene emakeelega, Eestis keskhariduse omandanud üliõpilastel arendada akadeemiliseks õppeks ja hilisemaks töötamiseks vajalikku eesti keele ja erialase keele oskust"/>
    <m/>
    <m/>
    <x v="0"/>
    <m/>
    <m/>
    <m/>
    <m/>
    <n v="0"/>
    <n v="0"/>
    <n v="0"/>
    <n v="0"/>
    <n v="0"/>
    <n v="0"/>
    <n v="0"/>
    <n v="0"/>
    <n v="0"/>
    <n v="0"/>
    <n v="0"/>
    <n v="0"/>
    <n v="0"/>
    <n v="0"/>
    <n v="0"/>
    <n v="0"/>
    <n v="0"/>
    <n v="0"/>
    <n v="0"/>
    <n v="0"/>
    <n v="0"/>
    <n v="0"/>
    <n v="0"/>
    <n v="0"/>
    <n v="0"/>
    <n v="0"/>
    <n v="0"/>
    <n v="0"/>
    <n v="0"/>
    <n v="0"/>
    <n v="0"/>
    <s v="Rahalised vahendid ette nähtud alltoodud arengukavas."/>
  </r>
  <r>
    <m/>
    <m/>
    <s v="Eesti keelest erineva emakeelega põhikooli lõpetajate osakaal, kes valdavad eesti keelt vähemalt tasemel B1 (%)._x000a_"/>
    <s v="x"/>
    <s v="x"/>
    <x v="0"/>
    <s v="2014: 67% "/>
    <m/>
    <m/>
    <m/>
    <m/>
    <m/>
    <m/>
    <m/>
    <m/>
    <s v="70%"/>
    <m/>
    <m/>
    <m/>
    <m/>
    <m/>
    <s v="74%"/>
    <m/>
    <m/>
    <m/>
    <m/>
    <m/>
    <s v="78%"/>
    <m/>
    <m/>
    <m/>
    <m/>
    <m/>
    <s v="82%"/>
    <m/>
    <m/>
    <m/>
    <m/>
    <m/>
    <s v="82%"/>
    <m/>
    <m/>
  </r>
  <r>
    <m/>
    <m/>
    <s v="Eesti keele kui teise keele riigieksami vähemalt 60% tulemusega sooritanute osakaal eksamil käinud gümnaasiumilõpetajate arvust"/>
    <s v="x"/>
    <s v="x"/>
    <x v="0"/>
    <s v="2012: 70,3%"/>
    <m/>
    <m/>
    <m/>
    <m/>
    <m/>
    <m/>
    <m/>
    <m/>
    <s v="– "/>
    <m/>
    <m/>
    <m/>
    <m/>
    <m/>
    <s v="75%"/>
    <m/>
    <m/>
    <m/>
    <m/>
    <m/>
    <s v="– "/>
    <m/>
    <m/>
    <m/>
    <m/>
    <m/>
    <s v="– "/>
    <m/>
    <m/>
    <m/>
    <m/>
    <m/>
    <s v="75% "/>
    <m/>
    <m/>
  </r>
  <r>
    <s v="4.1.1."/>
    <s v="Üldhariduskoolide, lasteaedade ja kutseõppeasutuse õpetajate ja koolijuhtide koolitussüsteemi kujundamine, mh LAK-õppe koolitused, eesti keelest erineva emakeelega haridusasutuste töötajate väärtuskasvatuse koolitused, eesti keelest erineva emakeelega koolide õpetajate ja koolijuhtide erialaste pädevuste arendamine (üldise koolitussüsteemi arendamise raames)"/>
    <s v="Eesti keelest erineva emakeelega haridusasutuste töötajatele on läbiviidud erinevad koolitused"/>
    <m/>
    <m/>
    <x v="3"/>
    <m/>
    <m/>
    <m/>
    <m/>
    <m/>
    <m/>
    <m/>
    <m/>
    <m/>
    <n v="0"/>
    <m/>
    <m/>
    <m/>
    <m/>
    <m/>
    <n v="0"/>
    <m/>
    <m/>
    <m/>
    <m/>
    <m/>
    <n v="0"/>
    <m/>
    <m/>
    <m/>
    <m/>
    <m/>
    <n v="0"/>
    <m/>
    <m/>
    <m/>
    <m/>
    <m/>
    <n v="0"/>
    <n v="0"/>
    <s v="Tegevuse rahastamine toimub Eesti elukestva õppe strateegia &quot;Üldharidusprogrammi&quot; kaudu."/>
  </r>
  <r>
    <s v="4.1.2."/>
    <s v="Õpikäsituse rakendamist toetavate koostöövormide loomine ja toetamine"/>
    <s v="Välja on kujunenud õpikäsituse rakendamist soodustavad koostöövõrgustikud, kus osalevad aktiivselt ka vene õppekeelega koolid. Osapoolte vastutus õpikäsituse rakendamise eest on selgemalt määratletud ja võimalused kaardistatud."/>
    <m/>
    <m/>
    <x v="3"/>
    <m/>
    <m/>
    <m/>
    <m/>
    <m/>
    <m/>
    <m/>
    <m/>
    <m/>
    <n v="0"/>
    <m/>
    <m/>
    <m/>
    <m/>
    <m/>
    <n v="0"/>
    <m/>
    <m/>
    <m/>
    <m/>
    <m/>
    <n v="0"/>
    <m/>
    <m/>
    <m/>
    <m/>
    <m/>
    <n v="0"/>
    <m/>
    <m/>
    <m/>
    <m/>
    <m/>
    <n v="0"/>
    <n v="0"/>
    <s v="Tegevuse rahastamine toimub Eesti elukestva õppe strateegia &quot;Üldharidusprogrammi&quot; kaudu."/>
  </r>
  <r>
    <s v="4.1.3."/>
    <s v="Teadlike valikute kujundamiseks info- ja nõustamisteenuste pakkumine "/>
    <s v="Eesti keelest erineva emakeelega koolide õpilased on saanud infot ja läbinud nõustamise"/>
    <m/>
    <m/>
    <x v="3"/>
    <m/>
    <m/>
    <m/>
    <m/>
    <m/>
    <m/>
    <m/>
    <m/>
    <m/>
    <n v="0"/>
    <m/>
    <m/>
    <m/>
    <m/>
    <m/>
    <n v="0"/>
    <m/>
    <m/>
    <m/>
    <m/>
    <m/>
    <n v="0"/>
    <m/>
    <m/>
    <m/>
    <m/>
    <m/>
    <n v="0"/>
    <m/>
    <m/>
    <m/>
    <m/>
    <m/>
    <n v="0"/>
    <n v="0"/>
    <s v="Tegevuse rahastamine toimub Eesti elukestva õppe strateegia &quot;Õppe- ja karjäärinõustamise programmi&quot; kaudu."/>
  </r>
  <r>
    <s v="4.1.4."/>
    <s v="Eesti keelest erineva emakeelega õpilaste toetamine eesti keele omandamisel."/>
    <s v="Eesti keelest erineva emakeelega lastele ja noortele on tagatud kõigil haridustasemetel võimalused Eesti ühiskonnas aktiivseks toimimiseks ja õpingute jätkamiseks võrdselt eesti keelt emakeelena rääkivate õppuritega."/>
    <m/>
    <m/>
    <x v="3"/>
    <m/>
    <m/>
    <m/>
    <m/>
    <m/>
    <m/>
    <m/>
    <m/>
    <m/>
    <n v="0"/>
    <m/>
    <m/>
    <m/>
    <m/>
    <m/>
    <n v="0"/>
    <m/>
    <m/>
    <m/>
    <m/>
    <m/>
    <n v="0"/>
    <m/>
    <m/>
    <m/>
    <m/>
    <m/>
    <n v="0"/>
    <m/>
    <m/>
    <m/>
    <m/>
    <m/>
    <n v="0"/>
    <n v="0"/>
    <s v="Tegevuse rahastamine toimub Eesti elukestva õppe strateegia &quot;Üldharidusprogrammi&quot; kaudu."/>
  </r>
  <r>
    <s v="4.1.5."/>
    <s v="Eesti keele oskuse tagamine ning eesti keelt väärtustavate hoiakute kujundamine eesti keelest erineva emakeelega üldhariduses läbi tegevuste, mis annavad võimaluse eesti keelest erineva emakeelega õpilastel koolis õpitud eesti keelt reaalelus kasutada."/>
    <s v="Eesti keele õppe arendamisel on toetatud haridusasutusi"/>
    <m/>
    <m/>
    <x v="3"/>
    <m/>
    <m/>
    <m/>
    <m/>
    <m/>
    <m/>
    <m/>
    <m/>
    <m/>
    <n v="0"/>
    <m/>
    <m/>
    <m/>
    <m/>
    <m/>
    <n v="0"/>
    <m/>
    <m/>
    <m/>
    <m/>
    <m/>
    <n v="0"/>
    <m/>
    <m/>
    <m/>
    <m/>
    <m/>
    <n v="0"/>
    <m/>
    <m/>
    <m/>
    <m/>
    <m/>
    <n v="0"/>
    <n v="0"/>
    <s v="Tegevuse rahastamine toimub Eesti elukestva õppe strateegia &quot;Üldharidusprogrammi&quot; kaudu."/>
  </r>
  <r>
    <s v="4.1.6."/>
    <s v="Kutsehariduse valdkonnas luuakse eesti keelest erineva emakeelega õppuritele võimalused täiendavaks eesti keele õppeks"/>
    <s v="Eesti keeles toimuva õppe osakaal (%) kutsekeskhariduse õppekavadel (vastaval õppeaastal sisseastujatele)."/>
    <m/>
    <m/>
    <x v="3"/>
    <m/>
    <m/>
    <m/>
    <m/>
    <m/>
    <m/>
    <m/>
    <m/>
    <m/>
    <n v="0"/>
    <m/>
    <m/>
    <m/>
    <m/>
    <m/>
    <n v="0"/>
    <m/>
    <m/>
    <m/>
    <m/>
    <m/>
    <n v="0"/>
    <m/>
    <m/>
    <m/>
    <m/>
    <m/>
    <n v="0"/>
    <m/>
    <m/>
    <m/>
    <m/>
    <m/>
    <n v="0"/>
    <n v="0"/>
    <s v="Tegevuse rahastamine toimub Eesti elukestva õppe strateegia &quot;Tööturu ja õppe tihedama seostamise programmi&quot; ja &quot;Kutseharidusprogrammi&quot; kaudu."/>
  </r>
  <r>
    <s v="Meede 4.2. "/>
    <s v="Eesti keelele ülemineku, keelekümbluse ja lõimitud aineõppe läbiviimise ja rakendamise toetamine"/>
    <s v="Programmis osalejad on iga-aastaselt tunnustatud üleriigiliselt või piirkondlikult; keelekümblusrühmade lapsed ja keelekümblusklasside õpilased on kaasatud aktiivset keeleõpet võimaldavatesse tunnivälistesse õppimisviisidesse; õpetajad kasutavad õppetöös keelekümblusmetoodika põhimõtteid ja on rahul tööga, väljatöötatud juhendite ja materjalide kvaliteedi ning kättesaadavusega; keelekümblus on kajastatud programmiga liitunud kohalike omavalitsuste arengukavades"/>
    <m/>
    <m/>
    <x v="0"/>
    <m/>
    <m/>
    <m/>
    <m/>
    <n v="0"/>
    <n v="0"/>
    <n v="0"/>
    <n v="0"/>
    <n v="0"/>
    <n v="0"/>
    <n v="0"/>
    <n v="0"/>
    <n v="0"/>
    <n v="0"/>
    <n v="0"/>
    <n v="0"/>
    <n v="0"/>
    <n v="0"/>
    <n v="0"/>
    <n v="0"/>
    <n v="0"/>
    <n v="0"/>
    <n v="0"/>
    <n v="0"/>
    <n v="0"/>
    <n v="0"/>
    <n v="0"/>
    <n v="0"/>
    <n v="0"/>
    <n v="0"/>
    <n v="0"/>
    <n v="0"/>
    <n v="0"/>
    <n v="0"/>
    <n v="0"/>
    <s v="Tegevuse rahastamine toimub Eesti elukestva õppe strateegia &quot;Üldharidusprogrammi&quot; kaudu."/>
  </r>
  <r>
    <m/>
    <m/>
    <s v="Eestikeelses õppes ja keelekümblusklassides osalevate eesti keelest erineva emakeelega õpilaste osakaal (%) "/>
    <s v="x"/>
    <s v="x"/>
    <x v="0"/>
    <s v="2015: 28,7%"/>
    <m/>
    <m/>
    <m/>
    <m/>
    <m/>
    <m/>
    <m/>
    <m/>
    <s v="suureneb"/>
    <m/>
    <m/>
    <m/>
    <m/>
    <m/>
    <s v="suureneb"/>
    <m/>
    <m/>
    <m/>
    <m/>
    <m/>
    <s v="suureneb"/>
    <m/>
    <m/>
    <m/>
    <m/>
    <m/>
    <s v="suureneb"/>
    <m/>
    <m/>
    <m/>
    <m/>
    <m/>
    <s v="suureneb"/>
    <m/>
    <m/>
  </r>
  <r>
    <m/>
    <m/>
    <s v="Eestikeelsete tundide osakaal kõikidest tundidest eesti/vene ja vene õppekeelega koolide põhikooliastmes, kus ei toimu keelekümblust "/>
    <s v="x"/>
    <s v="x"/>
    <x v="0"/>
    <s v="2015: 17%"/>
    <m/>
    <m/>
    <m/>
    <m/>
    <m/>
    <m/>
    <m/>
    <m/>
    <s v="suureneb"/>
    <m/>
    <m/>
    <m/>
    <m/>
    <m/>
    <s v="suureneb"/>
    <m/>
    <m/>
    <m/>
    <m/>
    <m/>
    <s v="suureneb"/>
    <m/>
    <m/>
    <m/>
    <m/>
    <m/>
    <s v="suureneb"/>
    <m/>
    <m/>
    <m/>
    <m/>
    <m/>
    <s v="suureneb"/>
    <m/>
    <m/>
  </r>
  <r>
    <s v="4.2.1."/>
    <s v="Keelekümblusprogrammi arendamine ja rakendamine"/>
    <s v="Suureneb eesti õppekeelega koolides ja keelekümblusprogrammis osalevate eesti keelest erineva emakeelega õppijate arv."/>
    <m/>
    <m/>
    <x v="3"/>
    <m/>
    <m/>
    <m/>
    <m/>
    <m/>
    <m/>
    <m/>
    <m/>
    <m/>
    <n v="0"/>
    <m/>
    <m/>
    <m/>
    <m/>
    <m/>
    <n v="0"/>
    <m/>
    <m/>
    <m/>
    <m/>
    <m/>
    <n v="0"/>
    <m/>
    <m/>
    <m/>
    <m/>
    <m/>
    <n v="0"/>
    <m/>
    <m/>
    <m/>
    <m/>
    <m/>
    <n v="0"/>
    <n v="0"/>
    <s v="Tegevuse rahastamine toimub Eesti elukestva õppe strateegia &quot;Üldharidusprogrammi&quot; kaudu."/>
  </r>
  <r>
    <s v="4.2.2."/>
    <s v="Institutsionaalne toetus haridusasutustele üleminekul eestikeelsele aineõppele"/>
    <s v="Toetust on saanud haridusasutused"/>
    <m/>
    <m/>
    <x v="3"/>
    <m/>
    <m/>
    <m/>
    <m/>
    <m/>
    <m/>
    <m/>
    <m/>
    <m/>
    <n v="0"/>
    <m/>
    <m/>
    <m/>
    <m/>
    <m/>
    <n v="0"/>
    <m/>
    <m/>
    <m/>
    <m/>
    <m/>
    <n v="0"/>
    <m/>
    <m/>
    <m/>
    <m/>
    <m/>
    <n v="0"/>
    <m/>
    <m/>
    <m/>
    <m/>
    <m/>
    <n v="0"/>
    <n v="0"/>
    <s v="Tegevuse rahastamine toimub Eesti elukestva õppe strateegia &quot;Üldharidusprogrammi&quot; kaudu."/>
  </r>
  <r>
    <s v="Eesmärk 5"/>
    <s v="Eesti keelest erineva emakeelega noored osalevad aktiivselt noorsootöös ja neil on tihedad kontaktid eestikeelsete eakaaslastega"/>
    <m/>
    <m/>
    <m/>
    <x v="0"/>
    <m/>
    <m/>
    <m/>
    <m/>
    <n v="0"/>
    <n v="0"/>
    <n v="0"/>
    <n v="0"/>
    <n v="0"/>
    <n v="0"/>
    <n v="0"/>
    <n v="0"/>
    <n v="0"/>
    <n v="0"/>
    <n v="0"/>
    <n v="0"/>
    <n v="0"/>
    <n v="0"/>
    <n v="0"/>
    <n v="0"/>
    <n v="0"/>
    <n v="0"/>
    <n v="0"/>
    <n v="0"/>
    <n v="0"/>
    <n v="0"/>
    <n v="0"/>
    <n v="0"/>
    <n v="0"/>
    <n v="0"/>
    <n v="0"/>
    <n v="0"/>
    <n v="0"/>
    <n v="0"/>
    <n v="0"/>
    <m/>
  </r>
  <r>
    <s v="Meede 5.1."/>
    <s v="Võimaluste suurendamine noorte omaalgatuseks, ühistegevuseks ja osaluseks"/>
    <s v="Noortel on avaramad võimalused arenguks ja eneseteostuseks; eesti keelest erineva emakeelega noored saavad osa noorsootöö võimalustest, mis toetab sidusa ja loova ühiskonna kujunemist"/>
    <m/>
    <m/>
    <x v="0"/>
    <m/>
    <m/>
    <m/>
    <m/>
    <n v="0"/>
    <n v="0"/>
    <n v="0"/>
    <n v="0"/>
    <n v="0"/>
    <n v="0"/>
    <n v="0"/>
    <n v="0"/>
    <n v="0"/>
    <n v="0"/>
    <n v="0"/>
    <n v="0"/>
    <n v="0"/>
    <n v="0"/>
    <n v="0"/>
    <n v="0"/>
    <n v="0"/>
    <n v="0"/>
    <n v="0"/>
    <n v="0"/>
    <n v="0"/>
    <n v="0"/>
    <n v="0"/>
    <n v="0"/>
    <n v="0"/>
    <n v="0"/>
    <n v="0"/>
    <n v="0"/>
    <n v="0"/>
    <n v="0"/>
    <n v="0"/>
    <s v="Tegevuse rahastamine toimub &quot;Noortevaldkonna programmi&quot; kaudu"/>
  </r>
  <r>
    <m/>
    <m/>
    <s v="Organiseeritud osalusvõimaluste arv"/>
    <s v="x"/>
    <s v="x"/>
    <x v="0"/>
    <s v="2013: 80"/>
    <m/>
    <m/>
    <m/>
    <m/>
    <m/>
    <m/>
    <m/>
    <m/>
    <s v="140"/>
    <m/>
    <m/>
    <m/>
    <m/>
    <m/>
    <s v="155"/>
    <m/>
    <m/>
    <m/>
    <m/>
    <m/>
    <s v="170"/>
    <m/>
    <m/>
    <m/>
    <m/>
    <m/>
    <s v="185"/>
    <m/>
    <m/>
    <m/>
    <m/>
    <m/>
    <s v="200"/>
    <m/>
    <m/>
  </r>
  <r>
    <s v="5.1.1. "/>
    <s v="Noorte omaalgatuse ja ühistegevuse toetamine"/>
    <s v="Noortel (sh eesti keelest erineva emakeelega) on rohkem teadmisi, motivatsiooni ja võimalusi, et enda ja kogu ühiskonna elu arendamiseks tegevusi ellu viia"/>
    <m/>
    <m/>
    <x v="3"/>
    <m/>
    <m/>
    <m/>
    <m/>
    <m/>
    <m/>
    <m/>
    <m/>
    <m/>
    <n v="0"/>
    <m/>
    <m/>
    <m/>
    <m/>
    <m/>
    <n v="0"/>
    <m/>
    <m/>
    <m/>
    <m/>
    <m/>
    <n v="0"/>
    <m/>
    <m/>
    <m/>
    <m/>
    <m/>
    <n v="0"/>
    <m/>
    <m/>
    <m/>
    <m/>
    <m/>
    <n v="0"/>
    <n v="0"/>
    <s v="Tegevuse rahastamine toimub &quot;Noortevaldkonna programmi&quot; kaudu"/>
  </r>
  <r>
    <s v="5.1.2."/>
    <s v="Mitmekesiste osalusvõimaluste arendamine"/>
    <s v="Noortel on rohkem organiseeritud osalusvõimalusi, sh nendes omavalitsustes, kus valdav elanikkond on eesti keelest erineva emakeelega"/>
    <m/>
    <m/>
    <x v="3"/>
    <m/>
    <m/>
    <m/>
    <m/>
    <m/>
    <m/>
    <m/>
    <m/>
    <m/>
    <n v="0"/>
    <m/>
    <m/>
    <m/>
    <m/>
    <m/>
    <n v="0"/>
    <m/>
    <m/>
    <m/>
    <m/>
    <m/>
    <n v="0"/>
    <m/>
    <m/>
    <m/>
    <m/>
    <m/>
    <n v="0"/>
    <m/>
    <m/>
    <m/>
    <m/>
    <m/>
    <n v="0"/>
    <n v="0"/>
    <s v="Tegevuse rahastamine toimub &quot;Noortevaldkonna programmi&quot; kaudu"/>
  </r>
  <r>
    <s v="5.1.3."/>
    <s v="Koolitatakse ja nõustatakse noorsootöötajaid"/>
    <s v="Eesti keelest erineva emakeelega noorsootöötajad omavad kättesaadavaid võimalusi enesetäienduseks. Läbi on viidud eesti keelest erineva emakeelega noorsootöötajate osalusel koolitused asjakohaste meetodite kasutamiseks noorsootöös ning tööks erinevate noortega."/>
    <m/>
    <m/>
    <x v="3"/>
    <m/>
    <m/>
    <m/>
    <m/>
    <m/>
    <m/>
    <m/>
    <m/>
    <m/>
    <n v="0"/>
    <m/>
    <m/>
    <m/>
    <m/>
    <m/>
    <n v="0"/>
    <m/>
    <m/>
    <m/>
    <m/>
    <m/>
    <n v="0"/>
    <m/>
    <m/>
    <m/>
    <m/>
    <m/>
    <n v="0"/>
    <m/>
    <m/>
    <m/>
    <m/>
    <m/>
    <n v="0"/>
    <n v="0"/>
    <s v="Tegevuse rahastamine toimub &quot;Noortevaldkonna programmi&quot; kaudu"/>
  </r>
  <r>
    <s v="Eesmärk 6"/>
    <s v="Eesti keelest erineva emakeelega tööealistele elanikele on tagatud võimalused täiendada oma teadmisi ja oskusi konkurentsivõimeliseks osalemiseks tööturul"/>
    <m/>
    <m/>
    <m/>
    <x v="0"/>
    <m/>
    <m/>
    <m/>
    <m/>
    <n v="0"/>
    <n v="0"/>
    <n v="0"/>
    <n v="0"/>
    <n v="0"/>
    <n v="0"/>
    <n v="0"/>
    <n v="0"/>
    <n v="0"/>
    <n v="0"/>
    <n v="0"/>
    <n v="0"/>
    <n v="0"/>
    <n v="0"/>
    <n v="0"/>
    <n v="0"/>
    <n v="0"/>
    <n v="0"/>
    <n v="0"/>
    <n v="0"/>
    <n v="0"/>
    <n v="0"/>
    <n v="0"/>
    <n v="0"/>
    <n v="0"/>
    <n v="0"/>
    <n v="0"/>
    <n v="0"/>
    <n v="0"/>
    <n v="0"/>
    <n v="0"/>
    <m/>
  </r>
  <r>
    <s v="Meede 6.1. "/>
    <s v="Teisest rahvusest elanike tööhõivevõime tõstmine"/>
    <s v="Toetatud on inimeste tööturule sisenemist läbi erinevate koolitus-, teavitus- ja nõustamisteenuste, lähenedes igale inimesele, sõltumata rahvusest või keeleoskusest, individuaalselt, selgitades välja konkreetse töötu vajadused ning väljavaated tööturule sisenemiseks"/>
    <m/>
    <m/>
    <x v="0"/>
    <m/>
    <m/>
    <m/>
    <m/>
    <n v="0"/>
    <n v="0"/>
    <n v="0"/>
    <n v="0"/>
    <n v="0"/>
    <n v="0"/>
    <n v="0"/>
    <n v="0"/>
    <n v="0"/>
    <n v="0"/>
    <n v="0"/>
    <n v="0"/>
    <n v="0"/>
    <n v="0"/>
    <n v="0"/>
    <n v="0"/>
    <n v="0"/>
    <n v="0"/>
    <n v="0"/>
    <n v="0"/>
    <n v="0"/>
    <n v="0"/>
    <n v="0"/>
    <n v="0"/>
    <n v="0"/>
    <n v="0"/>
    <n v="0"/>
    <n v="0"/>
    <n v="0"/>
    <n v="0"/>
    <n v="0"/>
    <s v="Tegevuse elluviimine toimub „Heaolu arengukava 2016–2023“ alaeesmärgi 1 kaudu"/>
  </r>
  <r>
    <m/>
    <m/>
    <s v="Tööturuteenustel osalejate osakaal registreeritud töötute hulgas, kelle põhiline suhtluskeel ei ole eesti keel (keskmiselt kuus)"/>
    <s v="x"/>
    <s v="x"/>
    <x v="0"/>
    <s v="2014: 30,9%"/>
    <m/>
    <m/>
    <m/>
    <m/>
    <m/>
    <m/>
    <m/>
    <m/>
    <s v="38%"/>
    <m/>
    <m/>
    <m/>
    <m/>
    <m/>
    <s v="40%"/>
    <m/>
    <m/>
    <m/>
    <m/>
    <m/>
    <s v="37%"/>
    <m/>
    <m/>
    <m/>
    <m/>
    <m/>
    <s v="35%"/>
    <m/>
    <m/>
    <m/>
    <m/>
    <m/>
    <s v="35%"/>
    <m/>
    <m/>
  </r>
  <r>
    <s v="6.1.1."/>
    <s v="Tööturuteenuste osutamine"/>
    <s v="Teenuses osalenud isikute arv"/>
    <m/>
    <m/>
    <x v="6"/>
    <m/>
    <m/>
    <m/>
    <m/>
    <m/>
    <m/>
    <m/>
    <m/>
    <m/>
    <n v="0"/>
    <m/>
    <m/>
    <m/>
    <m/>
    <m/>
    <n v="0"/>
    <m/>
    <m/>
    <m/>
    <m/>
    <m/>
    <n v="0"/>
    <m/>
    <m/>
    <m/>
    <m/>
    <m/>
    <n v="0"/>
    <m/>
    <m/>
    <m/>
    <m/>
    <m/>
    <n v="0"/>
    <n v="0"/>
    <s v="Tegevuse elluviimine toimub „Heaolu arengukava 2016–2023“ alaeesmärgi 1 kaudu"/>
  </r>
  <r>
    <s v="6.1.2."/>
    <s v="Teenuse &quot;Minu esimene töökoht&quot; pakkumine - Noortele vanuses 17-29, kellel puudub või on vähene töökogemus ning puudub erialane haridus (st on alg-, -põhi- või keskharidusega), ja kes on olnud töötukassas 4 kuud töötuna arvel pakutakse teenust &quot;Minu esimene töökoht&quot;."/>
    <s v="Teenuses osalenud isikute arv"/>
    <m/>
    <m/>
    <x v="6"/>
    <m/>
    <m/>
    <m/>
    <m/>
    <m/>
    <m/>
    <m/>
    <m/>
    <m/>
    <n v="0"/>
    <m/>
    <m/>
    <m/>
    <m/>
    <m/>
    <n v="0"/>
    <m/>
    <m/>
    <m/>
    <m/>
    <m/>
    <n v="0"/>
    <m/>
    <m/>
    <m/>
    <m/>
    <m/>
    <n v="0"/>
    <m/>
    <m/>
    <m/>
    <m/>
    <m/>
    <n v="0"/>
    <n v="0"/>
    <s v="Tegevuse elluviimine toimub „Heaolu arengukava 2016–2023“ alaeesmärgi 1 kaudu"/>
  </r>
  <r>
    <s v="6.1.3."/>
    <s v="Mobiilsustoetuse pakkumine - Inimestele, kes on töötukassas vähemalt 6 kuud töötuna arvel olnud ja võtavad vastu töökoha elukohast kaugemal, makstakse 4 kuu jooksul mobiilsustoetust."/>
    <s v="Teenuses osalenud isikute arv"/>
    <m/>
    <m/>
    <x v="6"/>
    <m/>
    <m/>
    <m/>
    <m/>
    <m/>
    <m/>
    <m/>
    <m/>
    <m/>
    <n v="0"/>
    <m/>
    <m/>
    <m/>
    <m/>
    <m/>
    <n v="0"/>
    <m/>
    <m/>
    <m/>
    <m/>
    <m/>
    <n v="0"/>
    <m/>
    <m/>
    <m/>
    <m/>
    <m/>
    <n v="0"/>
    <m/>
    <m/>
    <m/>
    <m/>
    <m/>
    <n v="0"/>
    <n v="0"/>
    <s v="Tegevuse elluviimine toimub „Heaolu arengukava 2016–2023“ alaeesmärgi 1 kaudu"/>
  </r>
  <r>
    <s v="6.1.4."/>
    <s v="Täiendavate tööturuteenuste ja töökohta loomise toetuse pakkumine Ida-Virumaa suurkoondamistele reageerimiseks, et aidata töölepiirkonnas töö kaotanud inimesi ja vähendada kõrget regionaalset tööpuudust (tegemist on eritegevusega, mida osutatakse kuni 31.12.2017)."/>
    <s v="Teenuses osalenud isikute arv "/>
    <m/>
    <m/>
    <x v="6"/>
    <m/>
    <m/>
    <m/>
    <m/>
    <m/>
    <m/>
    <m/>
    <m/>
    <m/>
    <n v="0"/>
    <m/>
    <m/>
    <m/>
    <m/>
    <m/>
    <n v="0"/>
    <m/>
    <m/>
    <m/>
    <m/>
    <m/>
    <n v="0"/>
    <m/>
    <m/>
    <m/>
    <m/>
    <m/>
    <n v="0"/>
    <m/>
    <m/>
    <m/>
    <m/>
    <m/>
    <n v="0"/>
    <n v="0"/>
    <s v="Tegevuse elluviimine toimub „Heaolu arengukava 2016-2023“ alaeesmärgi 1 kaudu. Tegevuse rahastamine toimub Euroopa Globaliseerumisfondi vahenditest(taotlus ettevalmistamisel)ja tööhõiveprogrammi eelarvest."/>
  </r>
  <r>
    <s v="Meede 6.2. "/>
    <s v="Eesti keelest erineva emakeelega inimeste riigikeeleoskuse parendamine"/>
    <s v="Loodud on eesti keele õppe kvaliteedi tagamise süsteem, võimalused eesti keelt ebapiisavalt oskavatele inimestele õppes osalemiseks ning kaasaegsete eesti keele omandamiseks vajalikud digitaalsed õppevahendid"/>
    <m/>
    <m/>
    <x v="0"/>
    <m/>
    <m/>
    <m/>
    <m/>
    <n v="0"/>
    <n v="0"/>
    <n v="0"/>
    <n v="0"/>
    <n v="0"/>
    <n v="0"/>
    <n v="0"/>
    <n v="0"/>
    <n v="0"/>
    <n v="0"/>
    <n v="0"/>
    <n v="0"/>
    <n v="0"/>
    <n v="0"/>
    <n v="0"/>
    <n v="0"/>
    <n v="0"/>
    <n v="0"/>
    <n v="0"/>
    <n v="0"/>
    <n v="0"/>
    <n v="0"/>
    <n v="0"/>
    <n v="0"/>
    <n v="0"/>
    <n v="0"/>
    <n v="0"/>
    <n v="0"/>
    <n v="0"/>
    <n v="0"/>
    <n v="0"/>
    <s v="Tegevuse rahastamine toimub Üldharidusprogrammi, Keeleprogrammi ja Eesti Elukestva õppe strateegia digipööre programmi kaudu."/>
  </r>
  <r>
    <m/>
    <m/>
    <s v="Eesti keele tasemeeksami (tasemed A2-C1) sooritanute osakaal eksamil käinutest (%)"/>
    <s v="x"/>
    <s v="x"/>
    <x v="0"/>
    <s v="2014: 51,5%"/>
    <m/>
    <m/>
    <m/>
    <m/>
    <m/>
    <m/>
    <m/>
    <m/>
    <s v="54%"/>
    <m/>
    <m/>
    <m/>
    <m/>
    <m/>
    <s v="54%"/>
    <m/>
    <m/>
    <m/>
    <m/>
    <m/>
    <s v="54%"/>
    <m/>
    <m/>
    <m/>
    <m/>
    <m/>
    <s v="55%"/>
    <m/>
    <m/>
    <m/>
    <m/>
    <m/>
    <s v="55%"/>
    <m/>
    <m/>
  </r>
  <r>
    <s v="6.2.1."/>
    <s v="Täiskasvanute eesti keele õppe kvaliteeditagamise- ja järelvalvesüsteemi kujundamine"/>
    <s v="1. Loodud on toimiv koolitajate ja koolitusasutuste järelvalvesüsteem_x000a_2. Perioodi lõpuks vastavad täiskasvanute eesti keele koolitajad ja koolitusasutused kehtestatud nõuetele"/>
    <m/>
    <m/>
    <x v="3"/>
    <m/>
    <m/>
    <m/>
    <m/>
    <m/>
    <m/>
    <m/>
    <m/>
    <m/>
    <n v="0"/>
    <m/>
    <m/>
    <m/>
    <m/>
    <m/>
    <n v="0"/>
    <m/>
    <m/>
    <m/>
    <m/>
    <m/>
    <n v="0"/>
    <m/>
    <m/>
    <m/>
    <m/>
    <m/>
    <n v="0"/>
    <m/>
    <m/>
    <m/>
    <m/>
    <m/>
    <n v="0"/>
    <n v="0"/>
    <s v="Tegevuste rahastamine toimub Keeleprogrammi kaudu."/>
  </r>
  <r>
    <s v="6.2.2."/>
    <s v="Nõrgema konkurentsivõimega eesti keelt ebapiisavalt oskavatele inimestele õppes osalemiseks tingimuste loomine, kus sihtrühmadele pakutakse nende vajadustest lähtuvalt paindlikke eesti keele õppe võimalusi õpivalmiduse ning tööturul konkurentsivõime suurendamiseks"/>
    <s v="1) 70 % eesti keele õppe lõpetanutest tõstab oma keeleoskust  vähemalt ühe taseme võrra _x000a_2) 60 % toetatud eesti keele õppes osalenud täiskasvanutest sooritab keeleeksami"/>
    <m/>
    <m/>
    <x v="3"/>
    <m/>
    <m/>
    <m/>
    <m/>
    <m/>
    <m/>
    <m/>
    <m/>
    <m/>
    <n v="0"/>
    <m/>
    <m/>
    <m/>
    <m/>
    <m/>
    <n v="0"/>
    <m/>
    <m/>
    <m/>
    <m/>
    <m/>
    <n v="0"/>
    <m/>
    <m/>
    <m/>
    <m/>
    <m/>
    <n v="0"/>
    <m/>
    <m/>
    <m/>
    <m/>
    <m/>
    <n v="0"/>
    <n v="0"/>
    <s v="Tegevuse rahastamine toimub Üldharidusprogrammi kaudu. "/>
  </r>
  <r>
    <s v="6.2.3."/>
    <s v="Tagatakse eesti keele omandamiseks vajaliku digitaalse õppevara olemasolu"/>
    <s v="Kõik eesti keele testitavad tasemed on kaasaegse õppevaraga kaetud"/>
    <m/>
    <m/>
    <x v="3"/>
    <m/>
    <m/>
    <m/>
    <m/>
    <m/>
    <m/>
    <m/>
    <m/>
    <m/>
    <n v="0"/>
    <m/>
    <m/>
    <m/>
    <m/>
    <m/>
    <n v="0"/>
    <m/>
    <m/>
    <m/>
    <m/>
    <m/>
    <n v="0"/>
    <m/>
    <m/>
    <m/>
    <m/>
    <m/>
    <n v="0"/>
    <m/>
    <m/>
    <m/>
    <m/>
    <m/>
    <n v="0"/>
    <n v="0"/>
    <s v="Tegevuse rahastamine toimub Üldharidusprogrammi, Keeleprogrammi ja Eesti Elukestva õppe strateegia digipööre programmi kaudu."/>
  </r>
  <r>
    <m/>
    <s v="Lõimumiskava arendamis- ja administreerimiskulud"/>
    <m/>
    <m/>
    <m/>
    <x v="0"/>
    <m/>
    <m/>
    <m/>
    <m/>
    <n v="615000"/>
    <n v="28513.649999999998"/>
    <n v="161577.35"/>
    <n v="0"/>
    <n v="0"/>
    <n v="805091"/>
    <n v="690000"/>
    <n v="28201.95"/>
    <n v="159811.04999999999"/>
    <n v="0"/>
    <n v="0"/>
    <n v="878013"/>
    <n v="600000"/>
    <n v="24850.95"/>
    <n v="140822.04999999999"/>
    <n v="0"/>
    <n v="0"/>
    <n v="765673"/>
    <n v="600000"/>
    <n v="24847.35"/>
    <n v="140801.65"/>
    <n v="0"/>
    <n v="0"/>
    <n v="765649"/>
    <n v="685000"/>
    <n v="24732.45"/>
    <n v="140150.54999999999"/>
    <n v="0"/>
    <n v="0"/>
    <n v="849883"/>
    <n v="4064309"/>
    <m/>
  </r>
  <r>
    <s v="7.1."/>
    <s v="Lõimumisvaldkonna uuringute ja arendusprojektide läbiviimine"/>
    <s v="Keskmiselt 3 uuringut ja arendusprojekti aastas läbi viidud "/>
    <n v="20"/>
    <n v="5"/>
    <x v="1"/>
    <m/>
    <m/>
    <m/>
    <s v="KuM"/>
    <n v="25000"/>
    <m/>
    <m/>
    <m/>
    <m/>
    <n v="25000"/>
    <n v="100000"/>
    <m/>
    <m/>
    <m/>
    <m/>
    <n v="100000"/>
    <n v="10000"/>
    <m/>
    <m/>
    <m/>
    <m/>
    <n v="10000"/>
    <n v="10000"/>
    <m/>
    <m/>
    <m/>
    <m/>
    <n v="10000"/>
    <n v="95000"/>
    <m/>
    <m/>
    <m/>
    <m/>
    <n v="95000"/>
    <n v="240000"/>
    <m/>
  </r>
  <r>
    <s v="7.2."/>
    <s v="SA MISA tegevuskulu"/>
    <s v="Tegevustoetus eraldatud"/>
    <n v="20"/>
    <n v="4"/>
    <x v="1"/>
    <m/>
    <m/>
    <m/>
    <s v="MISA"/>
    <n v="590000"/>
    <m/>
    <m/>
    <m/>
    <m/>
    <n v="590000"/>
    <n v="590000"/>
    <m/>
    <m/>
    <m/>
    <m/>
    <n v="590000"/>
    <n v="590000"/>
    <m/>
    <m/>
    <m/>
    <m/>
    <n v="590000"/>
    <n v="590000"/>
    <m/>
    <m/>
    <m/>
    <m/>
    <n v="590000"/>
    <n v="590000"/>
    <m/>
    <m/>
    <m/>
    <m/>
    <n v="590000"/>
    <n v="2950000"/>
    <s v="Lisaks toetatakse MISA tegevuskulu HTM &quot;Üldharidusprogrammi&quot; kaudu EUR 50 500 aastas, kokku EUR 252 500 perioodil 2016-2020"/>
  </r>
  <r>
    <s v="7.3."/>
    <s v="ESF lõimumismeetme administreerimiskulud"/>
    <s v="ESF progammi tegevused ellu viidud"/>
    <s v="31/40"/>
    <n v="4"/>
    <x v="1"/>
    <m/>
    <m/>
    <s v="INNOVE"/>
    <s v="MISA"/>
    <m/>
    <n v="28513.649999999998"/>
    <n v="161577.35"/>
    <m/>
    <m/>
    <n v="190091"/>
    <m/>
    <n v="28201.95"/>
    <n v="159811.04999999999"/>
    <m/>
    <m/>
    <n v="188013"/>
    <m/>
    <n v="24850.95"/>
    <n v="140822.04999999999"/>
    <m/>
    <m/>
    <n v="165673"/>
    <m/>
    <n v="24847.35"/>
    <n v="140801.65"/>
    <m/>
    <m/>
    <n v="165649"/>
    <m/>
    <n v="24732.45"/>
    <n v="140150.54999999999"/>
    <m/>
    <m/>
    <n v="164883"/>
    <n v="874309"/>
    <m/>
  </r>
  <r>
    <m/>
    <m/>
    <m/>
    <m/>
    <m/>
    <x v="0"/>
    <m/>
    <m/>
    <m/>
    <m/>
    <m/>
    <m/>
    <m/>
    <m/>
    <m/>
    <m/>
    <m/>
    <m/>
    <m/>
    <m/>
    <m/>
    <m/>
    <m/>
    <m/>
    <m/>
    <m/>
    <m/>
    <m/>
    <m/>
    <m/>
    <m/>
    <m/>
    <m/>
    <m/>
    <m/>
    <m/>
    <m/>
    <m/>
    <m/>
    <m/>
    <m/>
    <m/>
  </r>
  <r>
    <m/>
    <s v="KÕIK KOKKU:"/>
    <m/>
    <m/>
    <m/>
    <x v="0"/>
    <m/>
    <m/>
    <m/>
    <m/>
    <n v="8228229"/>
    <n v="468348.87"/>
    <n v="3029341.7149999999"/>
    <n v="106706.35500000001"/>
    <n v="123750"/>
    <n v="11956375.940000001"/>
    <n v="8162090"/>
    <n v="510394.87800000003"/>
    <n v="2892237.642"/>
    <n v="136250"/>
    <n v="408750"/>
    <n v="12109722.52"/>
    <n v="8108090"/>
    <n v="422978.48500000004"/>
    <n v="2396878.415"/>
    <n v="136250"/>
    <n v="408750"/>
    <n v="11472946.9"/>
    <n v="7976090"/>
    <n v="374488.2"/>
    <n v="2122099.7999999998"/>
    <n v="136250"/>
    <n v="408750"/>
    <n v="11017678"/>
    <n v="8061090"/>
    <n v="382031.10509375005"/>
    <n v="2164843.5955312499"/>
    <n v="151750.5"/>
    <n v="455251.5"/>
    <n v="11214966.700625001"/>
    <n v="57771690.060625002"/>
    <m/>
  </r>
</pivotCacheRecords>
</file>

<file path=xl/pivotCache/pivotCacheRecords2.xml><?xml version="1.0" encoding="utf-8"?>
<pivotCacheRecords xmlns="http://schemas.openxmlformats.org/spreadsheetml/2006/main" xmlns:r="http://schemas.openxmlformats.org/officeDocument/2006/relationships" count="103">
  <r>
    <x v="0"/>
    <m/>
    <m/>
    <m/>
    <m/>
    <m/>
    <x v="0"/>
    <m/>
    <m/>
    <m/>
    <m/>
    <m/>
    <m/>
    <m/>
    <m/>
    <m/>
    <m/>
    <m/>
    <m/>
    <m/>
    <m/>
    <m/>
    <m/>
    <m/>
    <m/>
    <m/>
    <m/>
    <m/>
    <m/>
    <m/>
    <m/>
    <m/>
    <m/>
    <m/>
    <m/>
    <m/>
    <m/>
    <m/>
    <m/>
    <m/>
    <m/>
    <m/>
    <m/>
  </r>
  <r>
    <x v="0"/>
    <s v="Alaeesmärk 1"/>
    <s v="Lõimumist toetavad hoiakud ja väärtused on Eesti ühiskonnas kinnistunud "/>
    <m/>
    <m/>
    <m/>
    <x v="0"/>
    <m/>
    <m/>
    <m/>
    <m/>
    <n v="7210200"/>
    <n v="51493.8"/>
    <n v="291798.2"/>
    <n v="41250"/>
    <n v="123750"/>
    <n v="7718492"/>
    <n v="6973061"/>
    <n v="9750"/>
    <n v="55250"/>
    <n v="36250"/>
    <n v="108750"/>
    <n v="7183061"/>
    <n v="6973061"/>
    <n v="7650"/>
    <n v="43350"/>
    <n v="36250"/>
    <n v="108750"/>
    <n v="7169061"/>
    <n v="6973061"/>
    <n v="5400"/>
    <n v="30600"/>
    <n v="36250"/>
    <n v="108750"/>
    <n v="7154061"/>
    <n v="6973061"/>
    <n v="3549.75"/>
    <n v="20115.25"/>
    <n v="26750.5"/>
    <n v="80251.5"/>
    <n v="7103728"/>
    <n v="36328403"/>
    <m/>
  </r>
  <r>
    <x v="0"/>
    <s v="Meede 1.1."/>
    <s v="Ühise inforuumi ja kultuurilisest mitmekesisusest teadlikkuse toetamine"/>
    <s v="Eesti ühiskonnas on teadvustatud ning hinnatud lõimumist toetavaid demokraatlikke ja avatud väärtuseid ning nendel baseeruvat jagatud riigiidentiteeti"/>
    <m/>
    <m/>
    <x v="0"/>
    <m/>
    <m/>
    <m/>
    <m/>
    <n v="6541902"/>
    <n v="40545"/>
    <n v="229755"/>
    <n v="25000"/>
    <n v="75000"/>
    <n v="6912202"/>
    <n v="6241984"/>
    <n v="2250"/>
    <n v="12750"/>
    <n v="25000"/>
    <n v="75000"/>
    <n v="6356984"/>
    <n v="6241984"/>
    <n v="0"/>
    <n v="0"/>
    <n v="25000"/>
    <n v="75000"/>
    <n v="6341984"/>
    <n v="6241984"/>
    <n v="0"/>
    <n v="0"/>
    <n v="25000"/>
    <n v="75000"/>
    <n v="6341984"/>
    <n v="6241984"/>
    <n v="0"/>
    <n v="0"/>
    <n v="17500"/>
    <n v="52500"/>
    <n v="6311984"/>
    <n v="32265138"/>
    <m/>
  </r>
  <r>
    <x v="0"/>
    <m/>
    <m/>
    <s v="Kommunikatsioonitegevustesse hõlmatud inimeste arv"/>
    <s v="x"/>
    <s v="x"/>
    <x v="0"/>
    <s v="2014: 0 in"/>
    <m/>
    <m/>
    <m/>
    <m/>
    <m/>
    <m/>
    <m/>
    <m/>
    <s v="49 000 in"/>
    <m/>
    <m/>
    <m/>
    <m/>
    <m/>
    <s v="– "/>
    <m/>
    <m/>
    <m/>
    <m/>
    <m/>
    <s v="95 000 in"/>
    <m/>
    <m/>
    <m/>
    <m/>
    <m/>
    <s v="– "/>
    <m/>
    <m/>
    <m/>
    <m/>
    <m/>
    <s v="150 000 in"/>
    <m/>
    <m/>
  </r>
  <r>
    <x v="0"/>
    <m/>
    <m/>
    <s v="Positiivse kultuurihoiakuga inimeste osakaal eestlaste ja teiste rahvuste seas"/>
    <s v="x"/>
    <s v="x"/>
    <x v="0"/>
    <s v="2015: eestlased - 61%; teised rahvused - 82%"/>
    <m/>
    <m/>
    <m/>
    <m/>
    <m/>
    <m/>
    <m/>
    <m/>
    <s v="– "/>
    <m/>
    <m/>
    <m/>
    <m/>
    <m/>
    <s v="eestlased - 62%; teised rahvused - 83%"/>
    <m/>
    <m/>
    <m/>
    <m/>
    <m/>
    <s v="– "/>
    <m/>
    <m/>
    <m/>
    <m/>
    <m/>
    <s v="– "/>
    <m/>
    <m/>
    <m/>
    <m/>
    <m/>
    <s v="eestlased - 63%; teised rahvused - 84%"/>
    <m/>
    <m/>
  </r>
  <r>
    <x v="0"/>
    <m/>
    <m/>
    <s v="ERR-i tele- ja raadioprogrammide jälgitavus muu emakeelega inimeste hulgas. Teisest rahvusest inimeste osakaal, kes peavad ERR-i tele- ja raadioprogramme oluliseks infoallikaks._x000a_"/>
    <s v="x"/>
    <s v="x"/>
    <x v="0"/>
    <s v="8,8% (tele-kanalid); 43,7% (raadio-kanalid); 76% (peab oluliseks)_x000a_"/>
    <m/>
    <m/>
    <m/>
    <m/>
    <m/>
    <m/>
    <m/>
    <m/>
    <s v="– "/>
    <m/>
    <m/>
    <m/>
    <m/>
    <m/>
    <s v="9% (tele-kanalid); 44% (raadio-kanalid); 79% (peab oluliseks)"/>
    <m/>
    <m/>
    <m/>
    <m/>
    <m/>
    <s v="– "/>
    <m/>
    <m/>
    <m/>
    <m/>
    <m/>
    <s v="– "/>
    <m/>
    <m/>
    <m/>
    <m/>
    <m/>
    <s v="11% (telekanalid); 47 % (raadiokanalid); 82% (peab oluliseks)"/>
    <m/>
    <m/>
  </r>
  <r>
    <x v="1"/>
    <s v="1.1.1."/>
    <s v="Kommunikatsioonitegevused ühiskonna väärtusorientatsioonide avatumaks muutmiseks ja ühise kvaliteetset infot sisaldava teabevälja tugevdamiseks (mh, meediaprojektidele, mitmekultuurilisusest teadlikkuse tõstmiseks, sh  rahvusvahelise kaitse saajatele suunatud projektid, ja info mitmekeelseks esitamiseks, ajakirjanike koolitused)."/>
    <s v="Iga-aastaselt on kommunikatsioonitegevustesse hõlmatud 18 750 inimest "/>
    <n v="20"/>
    <s v="4/5"/>
    <x v="1"/>
    <m/>
    <s v="2016-2020"/>
    <m/>
    <s v="MISA"/>
    <n v="45000"/>
    <m/>
    <m/>
    <m/>
    <m/>
    <n v="45000"/>
    <n v="45000"/>
    <m/>
    <m/>
    <m/>
    <m/>
    <n v="45000"/>
    <n v="45000"/>
    <m/>
    <m/>
    <m/>
    <m/>
    <n v="45000"/>
    <n v="45000"/>
    <m/>
    <m/>
    <m/>
    <m/>
    <n v="45000"/>
    <n v="45000"/>
    <m/>
    <m/>
    <m/>
    <m/>
    <n v="45000"/>
    <n v="225000"/>
    <s v="Tegevus kajastub Vägivalla ennetamise strateegia rakendusplaanis perioodil 2016-2019"/>
  </r>
  <r>
    <x v="1"/>
    <s v="1.1.2."/>
    <s v="Lõimumisvaldkonna sisuteemade avamine trüki-, tele-, raadio- ja interaktiivses meedias."/>
    <s v="1 audiovisuaalmeedia- ning sotsiaalreklaamikampaania ellu viidud"/>
    <s v="31/40"/>
    <n v="4"/>
    <x v="1"/>
    <m/>
    <s v="2016-2020"/>
    <s v="INNOVE"/>
    <s v="MISA"/>
    <m/>
    <n v="40545"/>
    <n v="229755"/>
    <m/>
    <m/>
    <n v="270300"/>
    <m/>
    <n v="2250"/>
    <n v="12750"/>
    <m/>
    <m/>
    <n v="15000"/>
    <m/>
    <m/>
    <m/>
    <m/>
    <m/>
    <n v="0"/>
    <m/>
    <m/>
    <m/>
    <m/>
    <m/>
    <n v="0"/>
    <m/>
    <m/>
    <m/>
    <m/>
    <m/>
    <n v="0"/>
    <n v="285300"/>
    <m/>
  </r>
  <r>
    <x v="1"/>
    <s v="1.1.3."/>
    <s v="Ühiseid ühiskondlikke väärtusi, eri kultuurirühmade olemust, sh pagulastemaatikat ning praktilisi tegevusi kajastavate audio-visuaalsete, trükimeedia ja internetimeedia projektide toetamine"/>
    <s v="läbiviidud teavitusprojektide arv 5;  projektide tarbijate arv sihtrühmas 20 000 aastas, kogu periood 100 000 in"/>
    <s v="31/40"/>
    <n v="4"/>
    <x v="2"/>
    <m/>
    <s v="2016-2020"/>
    <m/>
    <m/>
    <m/>
    <m/>
    <m/>
    <n v="25000"/>
    <n v="75000"/>
    <n v="100000"/>
    <m/>
    <m/>
    <m/>
    <n v="25000"/>
    <n v="75000"/>
    <n v="100000"/>
    <m/>
    <m/>
    <m/>
    <n v="25000"/>
    <n v="75000"/>
    <n v="100000"/>
    <m/>
    <m/>
    <m/>
    <n v="25000"/>
    <n v="75000"/>
    <n v="100000"/>
    <m/>
    <m/>
    <m/>
    <n v="17500"/>
    <n v="52500"/>
    <n v="70000"/>
    <n v="470000"/>
    <m/>
  </r>
  <r>
    <x v="1"/>
    <s v="1.1.4."/>
    <s v="ERR-i venekeelse raadioprogrammi tootmine ja edastamine"/>
    <s v="ERR-i poolt edastatakse venekeelseid raadiosaateid"/>
    <n v="20"/>
    <n v="4"/>
    <x v="1"/>
    <m/>
    <m/>
    <m/>
    <s v="ERR"/>
    <n v="1178694"/>
    <m/>
    <m/>
    <m/>
    <m/>
    <n v="1178694"/>
    <n v="1178700"/>
    <m/>
    <m/>
    <m/>
    <m/>
    <n v="1178700"/>
    <n v="1178700"/>
    <m/>
    <m/>
    <m/>
    <m/>
    <n v="1178700"/>
    <n v="1178700"/>
    <m/>
    <m/>
    <m/>
    <m/>
    <n v="1178700"/>
    <n v="1178700"/>
    <m/>
    <m/>
    <m/>
    <m/>
    <n v="1178700"/>
    <n v="5893494"/>
    <s v="Tegevuse rahastamine toimub ERR arengukava 2016-2019 ja 2017-2020 kaudu"/>
  </r>
  <r>
    <x v="1"/>
    <s v="1.1.5."/>
    <s v="ERR-i  eesti-, vene- ja ingliskeelse teabe edastamine veebis"/>
    <s v="Tagatud on ERR-i eesti-, vene- ning inglisekeelse veebiportaali töö"/>
    <n v="20"/>
    <n v="4"/>
    <x v="1"/>
    <m/>
    <m/>
    <m/>
    <s v="ERR"/>
    <n v="931035"/>
    <m/>
    <m/>
    <m/>
    <m/>
    <n v="931035"/>
    <n v="931100"/>
    <m/>
    <m/>
    <m/>
    <m/>
    <n v="931100"/>
    <n v="931100"/>
    <m/>
    <m/>
    <m/>
    <m/>
    <n v="931100"/>
    <n v="931100"/>
    <m/>
    <m/>
    <m/>
    <m/>
    <n v="931100"/>
    <n v="931100"/>
    <m/>
    <m/>
    <m/>
    <m/>
    <n v="931100"/>
    <n v="4655435"/>
    <s v="Tegevuse rahastamine toimub ERR arengukava 2016-2019 ja 2017-2020 kaudu"/>
  </r>
  <r>
    <x v="1"/>
    <s v="1.1.6."/>
    <s v="ERRi venekeelse telepropgrammi ettevalmistamine, tootmine ja eetrisseandmine"/>
    <s v="Venekeelse telekanali ettevalmistavad arendustegevused on läbi viidud (konkursid, pilootsaated) ning telekanal iga-aastaselt eetris"/>
    <n v="20"/>
    <n v="4"/>
    <x v="1"/>
    <m/>
    <m/>
    <m/>
    <s v="ERR"/>
    <n v="4387173"/>
    <m/>
    <m/>
    <m/>
    <m/>
    <n v="4387173"/>
    <n v="4087184"/>
    <m/>
    <m/>
    <m/>
    <m/>
    <n v="4087184"/>
    <n v="4087184"/>
    <m/>
    <m/>
    <m/>
    <m/>
    <n v="4087184"/>
    <n v="4087184"/>
    <m/>
    <m/>
    <m/>
    <m/>
    <n v="4087184"/>
    <n v="4087184"/>
    <m/>
    <m/>
    <m/>
    <m/>
    <n v="4087184"/>
    <n v="20735909"/>
    <s v="Tegevuse rahastamine toimub ERR arengukava 2016-2019 ja 2017-2020 kaudu; täiendavad eelarvelised vahendid lisatakse RES 2016-2019 ja 2017-2020 väljatöötamise käigus"/>
  </r>
  <r>
    <x v="0"/>
    <s v="Meede 1.2."/>
    <s v="Igapäevaste kontaktide, suhtluse ja kaasamise toetamine ühiskonnas"/>
    <s v="Toetatud on eelkõige eri piirkondades elavate ja eri keelelis-kultuurilise taustaga inimeste omavahelisi praktilisi kontakte, kaasatud on eri keelelis-kultuurilise taustaga inimesi ning nende osalusel põhinevaid organisatsioone aktiivsesse ühiskonnaellu"/>
    <m/>
    <m/>
    <x v="0"/>
    <m/>
    <m/>
    <m/>
    <m/>
    <n v="88577"/>
    <n v="10948.8"/>
    <n v="62043.199999999997"/>
    <n v="16250"/>
    <n v="48750"/>
    <n v="226569"/>
    <n v="88577"/>
    <n v="7500"/>
    <n v="42500"/>
    <n v="11250"/>
    <n v="33750"/>
    <n v="183577"/>
    <n v="88577"/>
    <n v="7650"/>
    <n v="43350"/>
    <n v="11250"/>
    <n v="33750"/>
    <n v="184577"/>
    <n v="88577"/>
    <n v="5400"/>
    <n v="30600"/>
    <n v="11250"/>
    <n v="33750"/>
    <n v="169577"/>
    <n v="88577"/>
    <n v="3549.75"/>
    <n v="20115.25"/>
    <n v="9250.5"/>
    <n v="27751.5"/>
    <n v="149244"/>
    <n v="913544"/>
    <m/>
  </r>
  <r>
    <x v="0"/>
    <m/>
    <m/>
    <s v="Projektidesse kaasatud inimeste arv"/>
    <s v="x"/>
    <s v="x"/>
    <x v="0"/>
    <s v="2014: 0 in"/>
    <m/>
    <m/>
    <m/>
    <m/>
    <m/>
    <m/>
    <m/>
    <m/>
    <s v="1 100 in"/>
    <m/>
    <m/>
    <m/>
    <m/>
    <m/>
    <s v="– "/>
    <m/>
    <m/>
    <m/>
    <m/>
    <m/>
    <s v="4 000 in"/>
    <m/>
    <m/>
    <m/>
    <m/>
    <m/>
    <s v="– "/>
    <m/>
    <m/>
    <m/>
    <m/>
    <m/>
    <s v="7 000 in"/>
    <m/>
    <m/>
  </r>
  <r>
    <x v="0"/>
    <m/>
    <m/>
    <s v="Püsikontaktide tiheduse kasv tegevustes osalenud eestlaste ja teistest rahvustest isikute vahel võrreldes tegevusteeelse perioodiga"/>
    <s v="x"/>
    <s v="x"/>
    <x v="0"/>
    <s v="2015: eestlased - 3; teised rahvused - 3,36"/>
    <m/>
    <m/>
    <m/>
    <m/>
    <m/>
    <m/>
    <m/>
    <m/>
    <s v="– "/>
    <m/>
    <m/>
    <m/>
    <m/>
    <m/>
    <s v="eestlased -3,2; teised rahvused - 3,4 (keskmine rahvustevaheliste suhtlemisvõrgustike arv)"/>
    <m/>
    <m/>
    <m/>
    <m/>
    <m/>
    <s v="– "/>
    <m/>
    <m/>
    <m/>
    <m/>
    <m/>
    <s v="– "/>
    <m/>
    <m/>
    <m/>
    <m/>
    <m/>
    <s v="Eestlased - 3,5; teised rahvused - 4  (keskmine rahvustevaheliste suhtlemisvõrgustike arv)"/>
    <m/>
    <m/>
  </r>
  <r>
    <x v="1"/>
    <s v="1.2.1."/>
    <s v="Kolmandate riikide kodanike kaasatust ja ühiskonna protsessides osalemist toetavad tegevused (mh kodanikeühiskonnas osalemise võimalustest teabe vahendamine, kodanikeühiskonna organisatsioonide ja nende omavahelise koostöö toetamine)"/>
    <s v="Iga aastaselt on toetatud 2 koostööprojekti"/>
    <s v="31/40"/>
    <n v="4"/>
    <x v="2"/>
    <m/>
    <s v="2016-2020"/>
    <m/>
    <m/>
    <m/>
    <m/>
    <m/>
    <n v="11250"/>
    <n v="33750"/>
    <n v="45000"/>
    <m/>
    <m/>
    <m/>
    <n v="11250"/>
    <n v="33750"/>
    <n v="45000"/>
    <m/>
    <m/>
    <m/>
    <n v="11250"/>
    <n v="33750"/>
    <n v="45000"/>
    <m/>
    <m/>
    <m/>
    <n v="11250"/>
    <n v="33750"/>
    <n v="45000"/>
    <m/>
    <m/>
    <m/>
    <n v="9250.5"/>
    <n v="27751.5"/>
    <n v="37002"/>
    <n v="217002"/>
    <m/>
  </r>
  <r>
    <x v="1"/>
    <s v="1.2.2."/>
    <s v="Kohalike omavalitsuste võimekuse tõstmine kolmandate riikide kodanikele info vahendamisel ja avalike teenuste pakkumisel, sh täiendkoolitused, infopäevad jne"/>
    <s v="2016. aastal toetatud 1 projekt"/>
    <s v="31/40"/>
    <n v="4"/>
    <x v="2"/>
    <m/>
    <n v="2016"/>
    <m/>
    <m/>
    <m/>
    <m/>
    <m/>
    <n v="5000"/>
    <n v="15000"/>
    <n v="20000"/>
    <m/>
    <m/>
    <m/>
    <m/>
    <m/>
    <n v="0"/>
    <m/>
    <m/>
    <m/>
    <m/>
    <m/>
    <n v="0"/>
    <m/>
    <m/>
    <m/>
    <m/>
    <m/>
    <n v="0"/>
    <m/>
    <m/>
    <m/>
    <m/>
    <m/>
    <n v="0"/>
    <n v="20000"/>
    <m/>
  </r>
  <r>
    <x v="1"/>
    <s v="1.2.3."/>
    <s v="Ühise teabevälja edendamine läbi kultuuri, sh kultuuri- ja spordialaste kostöötegevuste eri regioonidest või keelelis-kultuurilise taustaga inimeste osalusel, sh pagulastele."/>
    <s v="Iga aastaselt on toetatud 4 kultuuri- ja spordialast projekti"/>
    <n v="20"/>
    <n v="4"/>
    <x v="1"/>
    <m/>
    <s v="2016-2020"/>
    <s v="MISA"/>
    <m/>
    <n v="79577"/>
    <m/>
    <m/>
    <m/>
    <m/>
    <n v="79577"/>
    <n v="79577"/>
    <m/>
    <m/>
    <m/>
    <m/>
    <n v="79577"/>
    <n v="79577"/>
    <m/>
    <m/>
    <m/>
    <m/>
    <n v="79577"/>
    <n v="79577"/>
    <m/>
    <m/>
    <m/>
    <m/>
    <n v="79577"/>
    <n v="79577"/>
    <m/>
    <m/>
    <m/>
    <m/>
    <n v="79577"/>
    <n v="397885"/>
    <m/>
  </r>
  <r>
    <x v="1"/>
    <s v="1.2.4."/>
    <s v="Ühiskonna protsessides osalemist toetavad tegevused (sh kodanikeühiskonna organisatsioonide ja nende omavahelise koostöö toetamine)"/>
    <s v="5 500 inimest on osalenud koostöötegevustes"/>
    <s v="31/40"/>
    <n v="4"/>
    <x v="1"/>
    <m/>
    <s v="2016-2020"/>
    <s v="INNOVE"/>
    <s v="MISA"/>
    <m/>
    <n v="10948.8"/>
    <n v="62043.199999999997"/>
    <m/>
    <m/>
    <n v="72992"/>
    <m/>
    <n v="7500"/>
    <n v="42500"/>
    <m/>
    <m/>
    <n v="50000"/>
    <m/>
    <n v="7650"/>
    <n v="43350"/>
    <m/>
    <m/>
    <n v="51000"/>
    <m/>
    <n v="5400"/>
    <n v="30600"/>
    <m/>
    <m/>
    <n v="36000"/>
    <m/>
    <n v="3549.75"/>
    <n v="20115.25"/>
    <m/>
    <m/>
    <n v="23665"/>
    <n v="233657"/>
    <m/>
  </r>
  <r>
    <x v="1"/>
    <s v="1.2.5."/>
    <s v="Lõimumisvaldkonna arenduspreemiad"/>
    <s v="Iga aastaselt on välja antud 4 arendus- ja meediapreemiat."/>
    <n v="20"/>
    <n v="4"/>
    <x v="1"/>
    <m/>
    <s v="2016-2020"/>
    <s v="MISA"/>
    <m/>
    <n v="9000"/>
    <m/>
    <m/>
    <m/>
    <m/>
    <n v="9000"/>
    <n v="9000"/>
    <m/>
    <m/>
    <m/>
    <m/>
    <n v="9000"/>
    <n v="9000"/>
    <m/>
    <m/>
    <m/>
    <m/>
    <n v="9000"/>
    <n v="9000"/>
    <m/>
    <m/>
    <m/>
    <m/>
    <n v="9000"/>
    <n v="9000"/>
    <m/>
    <m/>
    <m/>
    <m/>
    <n v="9000"/>
    <n v="45000"/>
    <m/>
  </r>
  <r>
    <x v="0"/>
    <s v="Meede 1.3."/>
    <s v="Etniliste vähemuste emakeele ja kultuuri toetamine"/>
    <s v="Tagatud on Eesti ühiskonna mitmekultuurilisus ja eri rahvuskultuure esindavate organisatsioonide jätkusuutlik toimimine ja süsteemne arendamine"/>
    <m/>
    <m/>
    <x v="0"/>
    <m/>
    <m/>
    <m/>
    <m/>
    <n v="579721"/>
    <n v="0"/>
    <n v="0"/>
    <n v="0"/>
    <n v="0"/>
    <n v="579721"/>
    <n v="642500"/>
    <n v="0"/>
    <n v="0"/>
    <n v="0"/>
    <n v="0"/>
    <n v="642500"/>
    <n v="642500"/>
    <n v="0"/>
    <n v="0"/>
    <n v="0"/>
    <n v="0"/>
    <n v="642500"/>
    <n v="642500"/>
    <n v="0"/>
    <n v="0"/>
    <n v="0"/>
    <n v="0"/>
    <n v="642500"/>
    <n v="642500"/>
    <n v="0"/>
    <n v="0"/>
    <n v="0"/>
    <n v="0"/>
    <n v="642500"/>
    <n v="3149721"/>
    <m/>
  </r>
  <r>
    <x v="0"/>
    <m/>
    <m/>
    <s v="Toetatud katusorganisatsioonide ja nende allliikmetest rahvusvähemuste kultuuriseltside arv"/>
    <s v="x"/>
    <s v="x"/>
    <x v="0"/>
    <s v="2015: 16 katus-organisa-tsiooni ja 231  rahvusvähemuste kultuuri-seltsi "/>
    <m/>
    <m/>
    <m/>
    <m/>
    <m/>
    <m/>
    <m/>
    <m/>
    <s v="16 katus-organisa-tsiooni ja 231  rahvusvähemuste kultuuri-seltsi "/>
    <m/>
    <m/>
    <m/>
    <m/>
    <m/>
    <s v="16 katus-organisa-tsiooni ja 231  rahvusvähemuste kultuuri-seltsi "/>
    <m/>
    <m/>
    <m/>
    <m/>
    <m/>
    <s v="17 katus-organisa-tsiooni ja 240  rahvus-vähemuste kultuuri-seltsi "/>
    <m/>
    <m/>
    <m/>
    <m/>
    <m/>
    <s v="17 katus-organisa-tsiooni ja 240  rahvus-vähemuste kultuuri-seltsi "/>
    <m/>
    <m/>
    <m/>
    <m/>
    <m/>
    <s v="17 katus-organisa-tsiooni ja 240  rahvus-vähemuste kultuuri-seltsi "/>
    <m/>
    <m/>
  </r>
  <r>
    <x v="0"/>
    <m/>
    <m/>
    <s v="Tegevustes osalenud teisest rahvusest isikute teadlikkus oma etnilisest identiteedist (emakeeleoskus, rahvuskultuuri tundmine, valmisolek neid rohkem tundma õppida)"/>
    <s v="x"/>
    <s v="x"/>
    <x v="0"/>
    <s v="määratletakse 2016. a"/>
    <m/>
    <m/>
    <m/>
    <m/>
    <m/>
    <m/>
    <m/>
    <m/>
    <s v="määratletakse 2016. a"/>
    <m/>
    <m/>
    <m/>
    <m/>
    <m/>
    <s v="määratletakse 2016. a"/>
    <m/>
    <m/>
    <m/>
    <m/>
    <m/>
    <s v="määratletakse 2016. a"/>
    <m/>
    <m/>
    <m/>
    <m/>
    <m/>
    <s v="määratletakse 2016. a"/>
    <m/>
    <m/>
    <m/>
    <m/>
    <m/>
    <s v="määratletakse 2016. a"/>
    <m/>
    <m/>
  </r>
  <r>
    <x v="0"/>
    <m/>
    <m/>
    <s v="Toetatud pühapäevakoolide arv"/>
    <s v="x"/>
    <s v="x"/>
    <x v="0"/>
    <s v="2013: 26 kooli"/>
    <m/>
    <m/>
    <m/>
    <m/>
    <m/>
    <m/>
    <m/>
    <m/>
    <s v="26 kooli"/>
    <m/>
    <m/>
    <m/>
    <m/>
    <m/>
    <s v="26 kooli"/>
    <m/>
    <m/>
    <m/>
    <m/>
    <m/>
    <s v="26 kooli"/>
    <m/>
    <m/>
    <m/>
    <m/>
    <m/>
    <s v="26 kooli"/>
    <m/>
    <m/>
    <m/>
    <m/>
    <m/>
    <s v="26 kooli"/>
    <m/>
    <m/>
  </r>
  <r>
    <x v="1"/>
    <s v="1.3.1."/>
    <s v="Rahvusvähemuste kultuuriühingute toetusprogramm"/>
    <s v="Iga-aastaselt on toetatud on 60 organisatsiooni"/>
    <n v="20"/>
    <n v="4"/>
    <x v="1"/>
    <m/>
    <s v="2016-2020"/>
    <s v="MISA"/>
    <m/>
    <n v="90500"/>
    <m/>
    <m/>
    <m/>
    <m/>
    <n v="90500"/>
    <n v="90500"/>
    <m/>
    <m/>
    <m/>
    <m/>
    <n v="90500"/>
    <n v="90500"/>
    <m/>
    <m/>
    <m/>
    <m/>
    <n v="90500"/>
    <n v="90500"/>
    <m/>
    <m/>
    <m/>
    <m/>
    <n v="90500"/>
    <n v="90500"/>
    <m/>
    <m/>
    <m/>
    <m/>
    <n v="90500"/>
    <n v="452500"/>
    <m/>
  </r>
  <r>
    <x v="1"/>
    <s v="1.3.2."/>
    <s v="Rahvuskultuuriseltside tegevuse baasrahastamine "/>
    <s v="Iga-aastaselt on toetatud orienteeruvalt 230 organisatsiooni"/>
    <n v="20"/>
    <n v="4"/>
    <x v="1"/>
    <m/>
    <s v="2016-2020"/>
    <s v="MISA"/>
    <m/>
    <n v="321330"/>
    <m/>
    <m/>
    <m/>
    <m/>
    <n v="321330"/>
    <n v="370000"/>
    <m/>
    <m/>
    <m/>
    <m/>
    <n v="370000"/>
    <n v="370000"/>
    <m/>
    <m/>
    <m/>
    <m/>
    <n v="370000"/>
    <n v="370000"/>
    <m/>
    <m/>
    <m/>
    <m/>
    <n v="370000"/>
    <n v="370000"/>
    <m/>
    <m/>
    <m/>
    <m/>
    <n v="370000"/>
    <n v="1801330"/>
    <m/>
  </r>
  <r>
    <x v="1"/>
    <s v="1.3.3."/>
    <s v="Eesti mitmekultuurilisust tähistatavate ürituste läbiviimine"/>
    <s v="Iga-aastaselt on läbi viidud 3 üritust"/>
    <n v="20"/>
    <n v="4"/>
    <x v="1"/>
    <m/>
    <s v="2016-2020"/>
    <s v="MISA"/>
    <m/>
    <n v="8391"/>
    <m/>
    <m/>
    <m/>
    <m/>
    <n v="8391"/>
    <n v="22500"/>
    <m/>
    <m/>
    <m/>
    <m/>
    <n v="22500"/>
    <n v="22500"/>
    <m/>
    <m/>
    <m/>
    <m/>
    <n v="22500"/>
    <n v="22500"/>
    <m/>
    <m/>
    <m/>
    <m/>
    <n v="22500"/>
    <n v="22500"/>
    <m/>
    <m/>
    <m/>
    <m/>
    <n v="22500"/>
    <n v="98391"/>
    <m/>
  </r>
  <r>
    <x v="1"/>
    <s v="1.3.4."/>
    <s v="Pühapäevakoolide baasrahastamine"/>
    <s v="Iga-aastaselt on toetust saanud 26 pühapäeva kooli."/>
    <n v="20"/>
    <n v="4"/>
    <x v="3"/>
    <m/>
    <m/>
    <s v="MISA"/>
    <m/>
    <n v="136000"/>
    <m/>
    <m/>
    <m/>
    <m/>
    <n v="136000"/>
    <n v="136000"/>
    <m/>
    <m/>
    <m/>
    <m/>
    <n v="136000"/>
    <n v="136000"/>
    <m/>
    <m/>
    <m/>
    <m/>
    <n v="136000"/>
    <n v="136000"/>
    <m/>
    <m/>
    <m/>
    <m/>
    <n v="136000"/>
    <n v="136000"/>
    <m/>
    <m/>
    <m/>
    <m/>
    <n v="136000"/>
    <n v="680000"/>
    <m/>
  </r>
  <r>
    <x v="1"/>
    <s v="1.3.5."/>
    <s v="Pühapäevakoolide koostöövõrgustiku toimimise  toetamine"/>
    <s v="Toimib pühapäevakoolide õpetajate liit, mis koordineerib pühapäevakoolide võrgustikku"/>
    <n v="20"/>
    <n v="4"/>
    <x v="3"/>
    <m/>
    <m/>
    <s v="Püha-päeva-koolide Õpetajate Ühendus"/>
    <m/>
    <m/>
    <m/>
    <m/>
    <m/>
    <m/>
    <n v="0"/>
    <m/>
    <m/>
    <m/>
    <m/>
    <m/>
    <n v="0"/>
    <m/>
    <m/>
    <m/>
    <m/>
    <m/>
    <n v="0"/>
    <m/>
    <m/>
    <m/>
    <m/>
    <m/>
    <n v="0"/>
    <m/>
    <m/>
    <m/>
    <m/>
    <m/>
    <n v="0"/>
    <n v="0"/>
    <m/>
  </r>
  <r>
    <x v="1"/>
    <s v="1.3.6."/>
    <s v="Rahvuskultuuriseltside pühapäevakoolide õpetajate täienduskoolitus"/>
    <s v="Iga-aastaselt on pühapäevakoolide õpetajate täiendkoolitusel osalenud 75 õpetajat."/>
    <n v="20"/>
    <n v="4"/>
    <x v="3"/>
    <m/>
    <m/>
    <s v="MISA"/>
    <m/>
    <n v="23500"/>
    <m/>
    <m/>
    <m/>
    <m/>
    <n v="23500"/>
    <n v="23500"/>
    <m/>
    <m/>
    <m/>
    <m/>
    <n v="23500"/>
    <n v="23500"/>
    <m/>
    <m/>
    <m/>
    <m/>
    <n v="23500"/>
    <n v="23500"/>
    <m/>
    <m/>
    <m/>
    <m/>
    <n v="23500"/>
    <n v="23500"/>
    <m/>
    <m/>
    <m/>
    <m/>
    <n v="23500"/>
    <n v="117500"/>
    <m/>
  </r>
  <r>
    <x v="0"/>
    <s v="Alaeesmärk 2"/>
    <s v="Vähelõimunud välispäritolu taustaga püsielanike osalemine ühiskonnas on kasvanud Eesti kodakondsuse omandamise ning uute ühiskondlike teadmiste kaudu"/>
    <m/>
    <m/>
    <m/>
    <x v="0"/>
    <m/>
    <m/>
    <m/>
    <m/>
    <n v="403029"/>
    <n v="241177.35"/>
    <n v="1720217.65"/>
    <n v="0"/>
    <n v="0"/>
    <n v="2364424"/>
    <n v="499029"/>
    <n v="311589.3"/>
    <n v="1765672.7"/>
    <n v="0"/>
    <n v="0"/>
    <n v="2576291"/>
    <n v="535029"/>
    <n v="198260.85"/>
    <n v="1123478.1499999999"/>
    <n v="0"/>
    <n v="0"/>
    <n v="1856768"/>
    <n v="403029"/>
    <n v="150545.70000000001"/>
    <n v="853092.29999999993"/>
    <n v="0"/>
    <n v="0"/>
    <n v="1406667"/>
    <n v="403029"/>
    <n v="137770.79999999999"/>
    <n v="780701.2"/>
    <n v="0"/>
    <n v="0"/>
    <n v="1321501"/>
    <n v="9525651"/>
    <m/>
  </r>
  <r>
    <x v="0"/>
    <s v="Meede 2.1."/>
    <s v="Võimaluste loomine vähelõimunud välispäritolutaustaga Eesti püsielanike ühiskondliku aktiivsuse suurendamiseks ja lõimumise toetamiseks"/>
    <s v="Koolitustel osalenud ning infot tarbinud püsielanikud on omandanud naturaliseerumiseks ning avalikkussfääris, kodanikuühiskonnas ja tööturul osalemiseks vajalikke teadmisi ja oskusi"/>
    <m/>
    <m/>
    <x v="0"/>
    <m/>
    <m/>
    <m/>
    <m/>
    <n v="327029"/>
    <n v="229177.35"/>
    <n v="1652217.65"/>
    <n v="0"/>
    <n v="0"/>
    <n v="2208424"/>
    <n v="393029"/>
    <n v="301089.3"/>
    <n v="1706172.7"/>
    <n v="0"/>
    <n v="0"/>
    <n v="2400291"/>
    <n v="459029"/>
    <n v="195260.85"/>
    <n v="1106478.1499999999"/>
    <n v="0"/>
    <n v="0"/>
    <n v="1760768"/>
    <n v="327029"/>
    <n v="147545.70000000001"/>
    <n v="836092.29999999993"/>
    <n v="0"/>
    <n v="0"/>
    <n v="1310667"/>
    <n v="327029"/>
    <n v="135520.79999999999"/>
    <n v="767951.2"/>
    <n v="0"/>
    <n v="0"/>
    <n v="1230501"/>
    <n v="8910651"/>
    <m/>
  </r>
  <r>
    <x v="0"/>
    <m/>
    <m/>
    <s v="Lõimumisprogrammis osalenud isikute arv"/>
    <s v="x"/>
    <s v="x"/>
    <x v="0"/>
    <s v="2014: 0 in"/>
    <m/>
    <m/>
    <m/>
    <m/>
    <m/>
    <m/>
    <m/>
    <m/>
    <s v="500 in"/>
    <m/>
    <m/>
    <m/>
    <m/>
    <m/>
    <s v="– "/>
    <m/>
    <m/>
    <m/>
    <m/>
    <m/>
    <s v="3500 in"/>
    <m/>
    <m/>
    <m/>
    <m/>
    <m/>
    <s v="– "/>
    <m/>
    <m/>
    <m/>
    <m/>
    <m/>
    <s v="5500 in "/>
    <m/>
    <m/>
  </r>
  <r>
    <x v="0"/>
    <m/>
    <m/>
    <s v="Lõimumisprogrammi läbinute osakaal, kellel on paranenud eesti keele oskus, praktiline informeeritus  ja teadmised Eesti riigi, ühiskonna ja kultuuri kohta"/>
    <s v="x"/>
    <s v="x"/>
    <x v="0"/>
    <s v="2014: 0%"/>
    <m/>
    <m/>
    <m/>
    <m/>
    <m/>
    <m/>
    <m/>
    <m/>
    <s v="määratletakse 2016. a"/>
    <m/>
    <m/>
    <m/>
    <m/>
    <m/>
    <s v="määratletakse 2016. a"/>
    <m/>
    <m/>
    <m/>
    <m/>
    <m/>
    <s v="määratletakse 2016. a"/>
    <m/>
    <m/>
    <m/>
    <m/>
    <m/>
    <s v="määratletakse 2016. a"/>
    <m/>
    <m/>
    <m/>
    <m/>
    <m/>
    <s v="määratletakse 2016. a"/>
    <m/>
    <m/>
  </r>
  <r>
    <x v="0"/>
    <m/>
    <m/>
    <s v="Nõustamissüsteemi kasutanud isikute arv"/>
    <s v="x"/>
    <s v="x"/>
    <x v="0"/>
    <s v="2014: 0 in"/>
    <m/>
    <m/>
    <m/>
    <m/>
    <m/>
    <m/>
    <m/>
    <m/>
    <s v="2000 in"/>
    <m/>
    <m/>
    <m/>
    <m/>
    <m/>
    <s v="– "/>
    <m/>
    <m/>
    <m/>
    <m/>
    <m/>
    <s v="3000 in"/>
    <m/>
    <m/>
    <m/>
    <m/>
    <m/>
    <s v="– "/>
    <m/>
    <m/>
    <m/>
    <m/>
    <m/>
    <s v="5500 in "/>
    <m/>
    <m/>
  </r>
  <r>
    <x v="2"/>
    <s v="2.1.1."/>
    <s v="Paindliku lõimumisprogrammi (1. naturaliseerumiseks ettevalmistumise koolitus; 2. mitteformaalne keeleõpe, 3. kultuurikümblus; 4. kultuurikoolitus) väljatöötamine ja pakkumine"/>
    <s v="rakendatud 3 koolitusmoodulit ja tegutsenud 150 eesti keele ja kultuuri klubi"/>
    <s v="31/40"/>
    <n v="4"/>
    <x v="1"/>
    <m/>
    <m/>
    <s v="INNOVE"/>
    <s v="MISA"/>
    <m/>
    <n v="194097"/>
    <n v="1099883"/>
    <m/>
    <m/>
    <n v="1293980"/>
    <m/>
    <n v="194696.85"/>
    <n v="1103282.1499999999"/>
    <m/>
    <m/>
    <n v="1297979"/>
    <m/>
    <n v="148050"/>
    <n v="838950"/>
    <m/>
    <m/>
    <n v="987000"/>
    <m/>
    <n v="116317.05"/>
    <n v="659129.94999999995"/>
    <m/>
    <m/>
    <n v="775447"/>
    <m/>
    <n v="106786.5"/>
    <n v="605123.5"/>
    <m/>
    <m/>
    <n v="711910"/>
    <n v="5066316"/>
    <m/>
  </r>
  <r>
    <x v="2"/>
    <s v="2.1.2."/>
    <s v="Nõustamis- ja infosüsteemi väljatöötamine ja rakendamine "/>
    <s v="1 nõustamis- ja infosüsteem on välja töötatud, 200 riigiasutuste, KOV-de ja kolmanda sektori asutuste töötajat koolitusel osalenud, sh arvestatakse pagulaste nõustamisvajadustega. "/>
    <s v="31/40"/>
    <n v="4"/>
    <x v="1"/>
    <m/>
    <m/>
    <s v="INNOVE"/>
    <s v="MISA"/>
    <m/>
    <n v="32080.35"/>
    <n v="181788.65"/>
    <m/>
    <m/>
    <n v="213869"/>
    <m/>
    <n v="31682.25"/>
    <n v="179532.75"/>
    <m/>
    <m/>
    <n v="211215"/>
    <m/>
    <n v="44210.85"/>
    <n v="250528.15"/>
    <m/>
    <m/>
    <n v="294739"/>
    <m/>
    <n v="31228.649999999998"/>
    <n v="176962.35"/>
    <m/>
    <m/>
    <n v="208191"/>
    <m/>
    <n v="28734.3"/>
    <n v="162827.69999999998"/>
    <m/>
    <m/>
    <n v="191561.99999999997"/>
    <n v="1119576"/>
    <m/>
  </r>
  <r>
    <x v="2"/>
    <s v="2.1.3."/>
    <s v="Ühiskondlikku sidusust toetavad programmid noortele"/>
    <s v="Programmis osaleb 50 noort aastas. Peale programmi lõpetamist leiavad 70% osalejatest, et neil on Eestis võimalusi oma potentsiaali realiseerimiseks"/>
    <s v="31/40"/>
    <n v="4"/>
    <x v="1"/>
    <m/>
    <m/>
    <s v="INNOVE"/>
    <s v="MISA"/>
    <m/>
    <n v="3000"/>
    <n v="17000"/>
    <m/>
    <m/>
    <n v="20000"/>
    <m/>
    <n v="3000"/>
    <n v="17000"/>
    <m/>
    <m/>
    <n v="20000"/>
    <m/>
    <n v="3000"/>
    <n v="17000"/>
    <m/>
    <m/>
    <n v="20000"/>
    <m/>
    <m/>
    <m/>
    <m/>
    <m/>
    <n v="0"/>
    <m/>
    <m/>
    <m/>
    <m/>
    <m/>
    <n v="0"/>
    <n v="60000"/>
    <m/>
  </r>
  <r>
    <x v="2"/>
    <s v="2.1.4."/>
    <s v="Keeleõpe A1 tasemel vähelõimunud püsielanikele"/>
    <s v="Keelekursusteks on pakutud 600 õppekohta."/>
    <n v="20"/>
    <m/>
    <x v="1"/>
    <m/>
    <m/>
    <m/>
    <m/>
    <n v="0"/>
    <m/>
    <m/>
    <m/>
    <m/>
    <n v="0"/>
    <n v="66000"/>
    <m/>
    <m/>
    <m/>
    <m/>
    <n v="66000"/>
    <n v="132000"/>
    <m/>
    <m/>
    <m/>
    <m/>
    <n v="132000"/>
    <n v="0"/>
    <m/>
    <m/>
    <m/>
    <m/>
    <n v="0"/>
    <n v="0"/>
    <m/>
    <m/>
    <m/>
    <m/>
    <n v="0"/>
    <n v="198000"/>
    <m/>
  </r>
  <r>
    <x v="2"/>
    <s v="2.1.5."/>
    <s v="Keeleõpe noortelaagrites- ja peredes"/>
    <s v="Iga-aastaselt on toetatud 32 noore osalemist pereõppes ja/või keelelaagris; Iga-aastaselt on toetatud 165 noore osalemist noortelaagrite eesti keele programmilistes tegevustes."/>
    <n v="20"/>
    <n v="4"/>
    <x v="1"/>
    <m/>
    <m/>
    <s v="MISA"/>
    <m/>
    <n v="45000"/>
    <m/>
    <m/>
    <m/>
    <m/>
    <n v="45000"/>
    <n v="45000"/>
    <m/>
    <m/>
    <m/>
    <m/>
    <n v="45000"/>
    <n v="45000"/>
    <m/>
    <m/>
    <m/>
    <m/>
    <n v="45000"/>
    <n v="45000"/>
    <m/>
    <m/>
    <m/>
    <m/>
    <n v="45000"/>
    <n v="45000"/>
    <m/>
    <m/>
    <m/>
    <m/>
    <n v="45000"/>
    <n v="225000"/>
    <m/>
  </r>
  <r>
    <x v="2"/>
    <s v="2.1.6."/>
    <s v="Kinnipeetavate eesti keele õpe "/>
    <s v="Kinnipeetavad on osalenud eesti keeleõppes, sh 2016 - 710 õppekohta, 2017 - 670 õppekohta, 2018 - 670 õppekohta, 2019 - 670 õppekohta, 2020 - 670 õppekohta"/>
    <n v="20"/>
    <n v="5"/>
    <x v="4"/>
    <m/>
    <m/>
    <m/>
    <m/>
    <n v="282029"/>
    <m/>
    <m/>
    <m/>
    <m/>
    <n v="282029"/>
    <n v="282029"/>
    <m/>
    <m/>
    <m/>
    <m/>
    <n v="282029"/>
    <n v="282029"/>
    <m/>
    <m/>
    <m/>
    <m/>
    <n v="282029"/>
    <n v="282029"/>
    <m/>
    <m/>
    <m/>
    <m/>
    <n v="282029"/>
    <n v="282029"/>
    <m/>
    <m/>
    <m/>
    <m/>
    <n v="282029"/>
    <n v="1410145"/>
    <m/>
  </r>
  <r>
    <x v="2"/>
    <s v="2.1.7."/>
    <s v="Tehnilised vahendid etendusasutustes ja muuseumides muukeelse info paremaks ja efektiivsemaks edastamiseks "/>
    <s v="Hangitud tehniliste vahendite kasutajate arv - 20 000 inimest"/>
    <s v="31/40"/>
    <n v="4"/>
    <x v="1"/>
    <m/>
    <m/>
    <s v="INNOVE"/>
    <s v="MISA"/>
    <m/>
    <m/>
    <n v="353546"/>
    <m/>
    <m/>
    <n v="353546"/>
    <m/>
    <n v="71710.2"/>
    <n v="406357.8"/>
    <m/>
    <m/>
    <n v="478068"/>
    <m/>
    <m/>
    <m/>
    <m/>
    <m/>
    <n v="0"/>
    <m/>
    <m/>
    <m/>
    <m/>
    <m/>
    <n v="0"/>
    <m/>
    <m/>
    <m/>
    <m/>
    <m/>
    <n v="0"/>
    <n v="831614"/>
    <m/>
  </r>
  <r>
    <x v="0"/>
    <s v="Meede 2.2."/>
    <s v="Õiguslik-poliitilise lõimumise toetamine"/>
    <s v="Tugevnenud on ühist riigiidentiteeti, demokraatlikke ja kodanikeväärtusi toetavad hoiakud vähelõimunud Eesti püsielanike seas ja suurenenud on nende õigusteadlikkus. Samuti on teiste riikide ja määratlemata kodakondsusega isikud teadlikud Eesti kodakondsuse saamise võimalustest"/>
    <m/>
    <m/>
    <x v="0"/>
    <m/>
    <m/>
    <m/>
    <m/>
    <n v="51000"/>
    <n v="4500"/>
    <n v="25500"/>
    <n v="0"/>
    <n v="0"/>
    <n v="81000"/>
    <n v="51000"/>
    <n v="3000"/>
    <n v="17000"/>
    <n v="0"/>
    <n v="0"/>
    <n v="71000"/>
    <n v="51000"/>
    <n v="3000"/>
    <n v="17000"/>
    <n v="0"/>
    <n v="0"/>
    <n v="71000"/>
    <n v="51000"/>
    <n v="3000"/>
    <n v="17000"/>
    <n v="0"/>
    <n v="0"/>
    <n v="71000"/>
    <n v="51000"/>
    <n v="2250"/>
    <n v="12750"/>
    <n v="0"/>
    <n v="0"/>
    <n v="66000"/>
    <n v="360000"/>
    <m/>
  </r>
  <r>
    <x v="0"/>
    <m/>
    <m/>
    <s v="Teavitust läbiviivate organisatsioonide arv"/>
    <s v="x"/>
    <s v="x"/>
    <x v="0"/>
    <s v="2013: 1 org"/>
    <m/>
    <m/>
    <m/>
    <m/>
    <m/>
    <m/>
    <m/>
    <m/>
    <s v="1 org"/>
    <m/>
    <m/>
    <m/>
    <m/>
    <m/>
    <s v="1 org"/>
    <m/>
    <m/>
    <m/>
    <m/>
    <m/>
    <s v="1 org"/>
    <m/>
    <m/>
    <m/>
    <m/>
    <m/>
    <s v="1 org"/>
    <m/>
    <m/>
    <m/>
    <m/>
    <m/>
    <s v="1 org"/>
    <m/>
    <m/>
  </r>
  <r>
    <x v="0"/>
    <m/>
    <m/>
    <s v="Tegevustes osalenud määratlemata kodakondsusega inimeste ja teiste kolmandate riikide kodanike teadlikkus Eesti kodakondsuse omamisega kaasnevatest õigustest ja kohustustest"/>
    <s v="x"/>
    <s v="x"/>
    <x v="0"/>
    <s v="määratletakse 2016. a"/>
    <m/>
    <m/>
    <m/>
    <m/>
    <m/>
    <m/>
    <m/>
    <m/>
    <s v="määratletakse 2016. a"/>
    <m/>
    <m/>
    <m/>
    <m/>
    <m/>
    <s v="määratletakse 2016. a"/>
    <m/>
    <m/>
    <m/>
    <m/>
    <m/>
    <s v="määratletakse 2016. a"/>
    <m/>
    <m/>
    <m/>
    <m/>
    <m/>
    <s v="määratletakse 2016. a"/>
    <m/>
    <m/>
    <m/>
    <m/>
    <m/>
    <s v="määratletakse 2016. a"/>
    <m/>
    <m/>
  </r>
  <r>
    <x v="0"/>
    <m/>
    <m/>
    <s v="Toetatud organisatsioonide arv"/>
    <s v="x"/>
    <s v="x"/>
    <x v="0"/>
    <s v="2013: 2 org"/>
    <m/>
    <m/>
    <m/>
    <m/>
    <m/>
    <m/>
    <m/>
    <m/>
    <s v="2 org"/>
    <m/>
    <m/>
    <m/>
    <m/>
    <m/>
    <s v="2 org"/>
    <m/>
    <m/>
    <m/>
    <m/>
    <m/>
    <s v="2 org"/>
    <m/>
    <m/>
    <m/>
    <m/>
    <m/>
    <s v="2 org"/>
    <m/>
    <m/>
    <m/>
    <m/>
    <m/>
    <s v="2 org"/>
    <m/>
    <m/>
  </r>
  <r>
    <x v="2"/>
    <s v="2.2.1."/>
    <s v="Määratlemata kodakondsusega inimestele ja teistele kolmandate riikide kodanikele suunatud info levitamine kodakondsuse taotlemise võimaluste kohta"/>
    <s v="Määratlemata kodakondsusega inimestele ja teistele kolmandate riikide kodanikele suunatud info levitamine kodakondsuse taotlemise võimaluste kohta, töötab tasuta infotelefon ja veebileht www.meis.ee/kodanik"/>
    <s v="31/40"/>
    <n v="4"/>
    <x v="1"/>
    <m/>
    <m/>
    <s v="INNOVE"/>
    <s v="MISA"/>
    <m/>
    <n v="4500"/>
    <n v="25500"/>
    <m/>
    <m/>
    <n v="30000"/>
    <m/>
    <n v="3000"/>
    <n v="17000"/>
    <m/>
    <m/>
    <n v="20000"/>
    <m/>
    <n v="3000"/>
    <n v="17000"/>
    <m/>
    <m/>
    <n v="20000"/>
    <m/>
    <n v="3000"/>
    <n v="17000"/>
    <m/>
    <m/>
    <n v="20000"/>
    <m/>
    <n v="2250"/>
    <n v="12750"/>
    <m/>
    <m/>
    <n v="15000"/>
    <n v="105000"/>
    <m/>
  </r>
  <r>
    <x v="2"/>
    <s v="2.2.2."/>
    <s v="Määratlemata kodakondsusega isikuid teavitatakse (nii kirjalikult, s.h. elektrooniliselt kui ka suuliselt) Eesti kodakondsuse saamise võimalustest"/>
    <s v="Määratlemata kodakondsusega isikuid on teavitatud nii kirjalikult kui suuliselt PPA igapäevase töö raames"/>
    <m/>
    <m/>
    <x v="2"/>
    <m/>
    <m/>
    <s v="PPA"/>
    <m/>
    <m/>
    <m/>
    <m/>
    <m/>
    <m/>
    <n v="0"/>
    <m/>
    <m/>
    <m/>
    <m/>
    <m/>
    <n v="0"/>
    <m/>
    <m/>
    <m/>
    <m/>
    <m/>
    <n v="0"/>
    <m/>
    <m/>
    <m/>
    <m/>
    <m/>
    <n v="0"/>
    <m/>
    <m/>
    <m/>
    <m/>
    <m/>
    <n v="0"/>
    <n v="0"/>
    <s v="eraldi eelarvet ei ole, kulud kaetakse jooksvalt PPA eelarvest"/>
  </r>
  <r>
    <x v="2"/>
    <s v="2.2.3."/>
    <s v="Projektide läbiviimine Eesti kodakondsuse väärtustamise, inimõiguste tunnustamise ja ühise riigiidentiteedi tekkimise toetamiseks"/>
    <s v="2 organisatsiooni toetatud iga-aastaselt  "/>
    <s v="31/40"/>
    <n v="4"/>
    <x v="1"/>
    <m/>
    <m/>
    <s v="MISA"/>
    <m/>
    <n v="21000"/>
    <m/>
    <m/>
    <m/>
    <m/>
    <n v="21000"/>
    <n v="21000"/>
    <m/>
    <m/>
    <m/>
    <m/>
    <n v="21000"/>
    <n v="21000"/>
    <m/>
    <m/>
    <m/>
    <m/>
    <n v="21000"/>
    <n v="21000"/>
    <m/>
    <m/>
    <m/>
    <m/>
    <n v="21000"/>
    <n v="21000"/>
    <m/>
    <m/>
    <m/>
    <m/>
    <n v="21000"/>
    <n v="105000"/>
    <m/>
  </r>
  <r>
    <x v="2"/>
    <s v="2.2.4."/>
    <s v="Vene keelde tõlgitud õigusakti tekstide kaasajastamine "/>
    <s v="52 õigusakti, mis on tõlgitud vene keelde, kaasajastatakse 2020. aastaks"/>
    <n v="20"/>
    <n v="5"/>
    <x v="4"/>
    <m/>
    <m/>
    <m/>
    <m/>
    <n v="5000"/>
    <m/>
    <m/>
    <m/>
    <m/>
    <n v="5000"/>
    <n v="5000"/>
    <m/>
    <m/>
    <m/>
    <m/>
    <n v="5000"/>
    <n v="5000"/>
    <m/>
    <m/>
    <m/>
    <m/>
    <n v="5000"/>
    <n v="5000"/>
    <m/>
    <m/>
    <m/>
    <m/>
    <n v="5000"/>
    <n v="5000"/>
    <m/>
    <m/>
    <m/>
    <m/>
    <n v="5000"/>
    <n v="25000"/>
    <m/>
  </r>
  <r>
    <x v="2"/>
    <s v="2.2.5."/>
    <s v="Tasuta õigusabi pakkumine vene keeles "/>
    <s v="veebipõhist nõustamist on osutatud 1020 isikule aastas (isikud võivad korduda)"/>
    <n v="20"/>
    <n v="5"/>
    <x v="4"/>
    <m/>
    <m/>
    <m/>
    <m/>
    <n v="25000"/>
    <m/>
    <m/>
    <m/>
    <m/>
    <n v="25000"/>
    <n v="25000"/>
    <m/>
    <m/>
    <m/>
    <m/>
    <n v="25000"/>
    <n v="25000"/>
    <m/>
    <m/>
    <m/>
    <m/>
    <n v="25000"/>
    <n v="25000"/>
    <m/>
    <m/>
    <m/>
    <m/>
    <n v="25000"/>
    <n v="25000"/>
    <m/>
    <m/>
    <m/>
    <m/>
    <n v="25000"/>
    <n v="125000"/>
    <m/>
  </r>
  <r>
    <x v="0"/>
    <s v="Meede 2.3."/>
    <s v="Võrdse kohtlemise edendamine tööturul"/>
    <s v="Suurenenud on organisatsioonide teadlikkus tööturul rahvuspõhise eraldatuse vähendamise vajalikkusest"/>
    <m/>
    <m/>
    <x v="0"/>
    <m/>
    <m/>
    <m/>
    <m/>
    <n v="25000"/>
    <n v="7500"/>
    <n v="42500"/>
    <n v="0"/>
    <n v="0"/>
    <n v="75000"/>
    <n v="55000"/>
    <n v="7500"/>
    <n v="42500"/>
    <n v="0"/>
    <n v="0"/>
    <n v="105000"/>
    <n v="25000"/>
    <n v="0"/>
    <n v="0"/>
    <n v="0"/>
    <n v="0"/>
    <n v="25000"/>
    <n v="25000"/>
    <n v="0"/>
    <n v="0"/>
    <n v="0"/>
    <n v="0"/>
    <n v="25000"/>
    <n v="25000"/>
    <n v="0"/>
    <n v="0"/>
    <n v="0"/>
    <n v="0"/>
    <n v="25000"/>
    <n v="255000"/>
    <m/>
  </r>
  <r>
    <x v="0"/>
    <m/>
    <m/>
    <s v="Tegevustesse hõlmatud organisatsioonide arv"/>
    <s v="x"/>
    <s v="x"/>
    <x v="0"/>
    <s v="2014: 0 org"/>
    <m/>
    <m/>
    <m/>
    <m/>
    <m/>
    <m/>
    <m/>
    <m/>
    <s v="3 org"/>
    <m/>
    <m/>
    <m/>
    <m/>
    <m/>
    <s v="10 org"/>
    <m/>
    <m/>
    <m/>
    <m/>
    <m/>
    <s v="10 org"/>
    <m/>
    <m/>
    <m/>
    <m/>
    <m/>
    <s v="10 org"/>
    <m/>
    <m/>
    <m/>
    <m/>
    <m/>
    <s v="10 org"/>
    <m/>
    <m/>
  </r>
  <r>
    <x v="2"/>
    <s v="2.3.1."/>
    <s v="Võrdse kohtlemise edendamisega töökollektiivides seotud projektide elluviimise kaasrahastamine"/>
    <s v="1 projekt ettevalmistatud ja rakendatud. Projektis osales: 20 vähelõimunud püsielanikust töötut, 20 mentorit ja 10 ettevõtet.   "/>
    <n v="20"/>
    <n v="4"/>
    <x v="1"/>
    <m/>
    <m/>
    <s v="MISA"/>
    <m/>
    <n v="25000"/>
    <m/>
    <m/>
    <m/>
    <m/>
    <n v="25000"/>
    <n v="25000"/>
    <m/>
    <m/>
    <m/>
    <m/>
    <n v="25000"/>
    <n v="25000"/>
    <m/>
    <m/>
    <m/>
    <m/>
    <n v="25000"/>
    <n v="25000"/>
    <m/>
    <m/>
    <m/>
    <m/>
    <n v="25000"/>
    <n v="25000"/>
    <m/>
    <m/>
    <m/>
    <m/>
    <n v="25000"/>
    <n v="125000"/>
    <m/>
  </r>
  <r>
    <x v="2"/>
    <s v="2.3.2."/>
    <s v="Keeleliselt mitmekesise töötajaskonnaga avaliku ja erasektori organisatsioonide toetamine ning teavitus eesti keelest erineva emakeelega inimestele karjäärivõimalustest avalikus sektoris "/>
    <s v="1 teavitusprogramm ette valmistatud ja rakendatud"/>
    <s v="31/40"/>
    <n v="4"/>
    <x v="1"/>
    <m/>
    <m/>
    <s v="INNOVE"/>
    <s v="MISA"/>
    <m/>
    <n v="7500"/>
    <n v="42500"/>
    <m/>
    <m/>
    <n v="50000"/>
    <m/>
    <n v="7500"/>
    <n v="42500"/>
    <m/>
    <m/>
    <n v="50000"/>
    <m/>
    <m/>
    <m/>
    <m/>
    <m/>
    <n v="0"/>
    <m/>
    <m/>
    <m/>
    <m/>
    <m/>
    <n v="0"/>
    <m/>
    <m/>
    <m/>
    <m/>
    <m/>
    <n v="0"/>
    <n v="100000"/>
    <m/>
  </r>
  <r>
    <x v="2"/>
    <s v="2.3.3."/>
    <s v="Avalike teenistujate rahvuslik-keelelise koosseisu analüüs"/>
    <s v="1 analüüs läbi viidud avalike teenistujate rahvusliku-keelelise koosseisu osas"/>
    <n v="40"/>
    <n v="55"/>
    <x v="5"/>
    <m/>
    <m/>
    <m/>
    <m/>
    <m/>
    <m/>
    <m/>
    <m/>
    <m/>
    <n v="0"/>
    <n v="30000"/>
    <m/>
    <m/>
    <m/>
    <m/>
    <n v="30000"/>
    <m/>
    <m/>
    <m/>
    <m/>
    <m/>
    <n v="0"/>
    <m/>
    <m/>
    <m/>
    <m/>
    <m/>
    <n v="0"/>
    <m/>
    <m/>
    <m/>
    <m/>
    <m/>
    <n v="0"/>
    <n v="30000"/>
    <m/>
  </r>
  <r>
    <x v="0"/>
    <s v="Alaeesmärk 3"/>
    <s v="Uussisserändajad on Eesti ühiskonnas kohanenud "/>
    <m/>
    <m/>
    <m/>
    <x v="0"/>
    <m/>
    <m/>
    <m/>
    <m/>
    <n v="0"/>
    <n v="147164.07"/>
    <n v="855748.51500000001"/>
    <n v="65456.355000000003"/>
    <n v="0"/>
    <n v="1068368.94"/>
    <n v="0"/>
    <n v="160853.62799999997"/>
    <n v="911503.89199999999"/>
    <n v="100000"/>
    <n v="300000"/>
    <n v="1472357.52"/>
    <n v="0"/>
    <n v="192216.685"/>
    <n v="1089228.2149999999"/>
    <n v="100000"/>
    <n v="300000"/>
    <n v="1681444.9"/>
    <n v="0"/>
    <n v="193695.15"/>
    <n v="1097605.8500000001"/>
    <n v="100000"/>
    <n v="300000"/>
    <n v="1691301"/>
    <n v="0"/>
    <n v="215978.10509375003"/>
    <n v="1223876.5955312501"/>
    <n v="125000"/>
    <n v="375000"/>
    <n v="1939854.7006250001"/>
    <n v="7853327.0606249999"/>
    <m/>
  </r>
  <r>
    <x v="0"/>
    <s v="Meede 3.1."/>
    <s v="Kohanemiskoolituste pakkumine uussisserändajatele"/>
    <s v="Kohanemisprogrammi läbinud uussisserändajatel on paranenud eesti keele oskus, praktiline informeeritus ja teadmised Eesti riigi, ühiskonna ja kultuuri kohta"/>
    <m/>
    <m/>
    <x v="0"/>
    <m/>
    <m/>
    <m/>
    <m/>
    <n v="0"/>
    <n v="123985.07249999999"/>
    <n v="724400.86250000005"/>
    <n v="65456.355000000003"/>
    <n v="0"/>
    <n v="913842.29"/>
    <n v="0"/>
    <n v="95458.427999999985"/>
    <n v="540931.09199999995"/>
    <n v="100000"/>
    <n v="300000"/>
    <n v="1036389.5199999999"/>
    <n v="0"/>
    <n v="134321.535"/>
    <n v="761155.36499999999"/>
    <n v="100000"/>
    <n v="300000"/>
    <n v="1295476.8999999999"/>
    <n v="0"/>
    <n v="133300"/>
    <n v="755366"/>
    <n v="100000"/>
    <n v="300000"/>
    <n v="1288666"/>
    <n v="0"/>
    <n v="155582.95509375003"/>
    <n v="881636.74553125014"/>
    <n v="125000"/>
    <n v="375000"/>
    <n v="1537219.7006250001"/>
    <n v="6071594.4106249996"/>
    <m/>
  </r>
  <r>
    <x v="0"/>
    <m/>
    <m/>
    <s v="Koolitatavate arv"/>
    <s v="x"/>
    <s v="x"/>
    <x v="0"/>
    <s v="2014: 0 in"/>
    <m/>
    <m/>
    <m/>
    <m/>
    <m/>
    <m/>
    <m/>
    <m/>
    <s v="määratletakse 2017. a"/>
    <m/>
    <m/>
    <m/>
    <m/>
    <m/>
    <s v="määratletakse 2017. a"/>
    <m/>
    <m/>
    <m/>
    <m/>
    <m/>
    <s v="määratletakse 2017. a"/>
    <m/>
    <m/>
    <m/>
    <m/>
    <m/>
    <s v="määratletakse 2017. a"/>
    <m/>
    <m/>
    <m/>
    <m/>
    <m/>
    <s v="8 575 in."/>
    <m/>
    <m/>
  </r>
  <r>
    <x v="3"/>
    <s v="3.1.1."/>
    <s v="Kohanemisprogrammi väljatöötamine, piloteerimine ja rakendamine"/>
    <s v="Kohanemisprogrammi läbinud uussisserändajatel on paranenud eesti keele oskus, praktiline informeeritus ja teadmised Eesti riigi, ühiskonna ja kultuuri kohta"/>
    <s v="31/40"/>
    <s v="4/5"/>
    <x v="2"/>
    <m/>
    <m/>
    <s v="INNOVE"/>
    <m/>
    <m/>
    <n v="123985.07249999999"/>
    <n v="702582.07750000001"/>
    <m/>
    <m/>
    <n v="826567.15"/>
    <m/>
    <n v="95458.427999999985"/>
    <n v="540931.09199999995"/>
    <m/>
    <m/>
    <n v="636389.5199999999"/>
    <m/>
    <n v="134321.535"/>
    <n v="761155.36499999999"/>
    <m/>
    <m/>
    <n v="895476.9"/>
    <m/>
    <n v="133300"/>
    <n v="755366"/>
    <m/>
    <m/>
    <n v="888666"/>
    <m/>
    <n v="155582.95509375003"/>
    <n v="881636.74553125014"/>
    <m/>
    <m/>
    <n v="1037219.7006250002"/>
    <n v="4284319.2706249999"/>
    <m/>
  </r>
  <r>
    <x v="3"/>
    <s v="3.1.2."/>
    <s v="Kohanemiskoolituste väljatöötamine ja pakkumine rahvusvahelise kaitse saajatele ning kolmandatest riikidest pärit üliõpilastele ja teadlastele"/>
    <s v="Kohanemisprogrammi rakendatakse aastast 2015"/>
    <s v="31/40"/>
    <s v="4/5"/>
    <x v="2"/>
    <m/>
    <m/>
    <m/>
    <s v="SiM"/>
    <m/>
    <m/>
    <n v="21818.785"/>
    <n v="65456.355000000003"/>
    <m/>
    <n v="87275.14"/>
    <m/>
    <m/>
    <m/>
    <n v="100000"/>
    <n v="300000"/>
    <n v="400000"/>
    <m/>
    <m/>
    <m/>
    <n v="100000"/>
    <n v="300000"/>
    <n v="400000"/>
    <m/>
    <m/>
    <m/>
    <n v="100000"/>
    <n v="300000"/>
    <n v="400000"/>
    <m/>
    <m/>
    <m/>
    <n v="125000"/>
    <n v="375000"/>
    <n v="500000"/>
    <n v="1787275.1400000001"/>
    <m/>
  </r>
  <r>
    <x v="0"/>
    <s v="Meede 3.2. "/>
    <s v="Uussisserändajatele suunatud tugiteenuste arendamine"/>
    <s v="Era-, kolmanda ja avaliku sektori koostöös toimiva uussisserändajate kohanemist toetava tugisüsteemi kujundamisega on tagatud uussisserändajatele vajaliku info kättesaadavus, toetatud sihtrühmale vajalike teenuste arendamine ning organisatsioonide koostöö. Tagatud on uussisserändajatega kokkupuutuvate organisatsioonide ametnike teadlikkus sihtrühma õigustest ja neile suunatud teenustest"/>
    <m/>
    <m/>
    <x v="0"/>
    <m/>
    <m/>
    <m/>
    <m/>
    <n v="0"/>
    <n v="23178.997499999998"/>
    <n v="131347.6525"/>
    <n v="0"/>
    <n v="0"/>
    <n v="154526.65"/>
    <n v="0"/>
    <n v="65395.199999999997"/>
    <n v="370572.79999999999"/>
    <n v="0"/>
    <n v="0"/>
    <n v="435968"/>
    <n v="0"/>
    <n v="57895.15"/>
    <n v="328072.84999999998"/>
    <n v="0"/>
    <n v="0"/>
    <n v="385968"/>
    <n v="0"/>
    <n v="60395.15"/>
    <n v="342239.85"/>
    <n v="0"/>
    <n v="0"/>
    <n v="402635"/>
    <n v="0"/>
    <n v="60395.15"/>
    <n v="342239.85"/>
    <n v="0"/>
    <n v="0"/>
    <n v="402635"/>
    <n v="1781732.65"/>
    <m/>
  </r>
  <r>
    <x v="0"/>
    <m/>
    <m/>
    <s v="Arendatud või väljatöötatud teenuste arv"/>
    <s v="x"/>
    <s v="x"/>
    <x v="0"/>
    <s v="2014: 0 tk"/>
    <m/>
    <m/>
    <m/>
    <m/>
    <m/>
    <m/>
    <m/>
    <m/>
    <s v="määratletakse 2017. a"/>
    <m/>
    <m/>
    <m/>
    <m/>
    <m/>
    <s v="määratletakse 2017. a"/>
    <m/>
    <m/>
    <m/>
    <m/>
    <m/>
    <s v="määratletakse 2017. a"/>
    <m/>
    <m/>
    <m/>
    <m/>
    <m/>
    <s v="määratletakse 2017. a"/>
    <m/>
    <m/>
    <m/>
    <m/>
    <m/>
    <s v="50 tk"/>
    <m/>
    <m/>
  </r>
  <r>
    <x v="3"/>
    <s v="3.2.1."/>
    <s v="Infovärava kontseptsiooni väljatöötamine ja rakendamine "/>
    <s v="Infoväravat rakendatakse 2016.a"/>
    <s v="31/40"/>
    <s v="4/5"/>
    <x v="2"/>
    <m/>
    <m/>
    <s v="INNOVE"/>
    <m/>
    <m/>
    <n v="12153.997499999999"/>
    <n v="68872.652499999997"/>
    <m/>
    <m/>
    <n v="81026.649999999994"/>
    <m/>
    <n v="6937.65"/>
    <n v="39313.35"/>
    <m/>
    <m/>
    <n v="46251"/>
    <m/>
    <n v="6937.65"/>
    <n v="39313.35"/>
    <m/>
    <m/>
    <n v="46251"/>
    <m/>
    <n v="6937.65"/>
    <n v="39313.35"/>
    <m/>
    <m/>
    <n v="46251"/>
    <m/>
    <n v="6937.65"/>
    <n v="39313.35"/>
    <m/>
    <m/>
    <n v="46251"/>
    <n v="266030.65000000002"/>
    <m/>
  </r>
  <r>
    <x v="3"/>
    <s v="3.2.2."/>
    <s v="Tugivõrgustike kontseptsiooni väljatöötamine ja rakendamine "/>
    <s v="1 tugivõrgustike kontseptsioon välja töötatud 2017 ja selle sisu on rakendatud alates 2017"/>
    <s v="31/40"/>
    <s v="4/5"/>
    <x v="2"/>
    <m/>
    <m/>
    <s v="INNOVE"/>
    <m/>
    <m/>
    <n v="11025"/>
    <n v="62475"/>
    <m/>
    <m/>
    <n v="73500"/>
    <m/>
    <n v="58457.549999999996"/>
    <n v="331259.45"/>
    <m/>
    <m/>
    <n v="389717"/>
    <m/>
    <n v="50957.5"/>
    <n v="288759.5"/>
    <m/>
    <m/>
    <n v="339717"/>
    <m/>
    <n v="53457.5"/>
    <n v="302926.5"/>
    <m/>
    <m/>
    <n v="356384"/>
    <m/>
    <n v="53457.5"/>
    <n v="302926.5"/>
    <m/>
    <m/>
    <n v="356384"/>
    <n v="1515702"/>
    <m/>
  </r>
  <r>
    <x v="0"/>
    <s v="Eesmärk 4"/>
    <s v="Eesti keelest erineva emakeelega õpilastel on konkurentsivõimelised teadmised ja oskused eestikeelses keskkonnas toimetulekuks"/>
    <m/>
    <m/>
    <m/>
    <x v="0"/>
    <m/>
    <m/>
    <m/>
    <m/>
    <n v="0"/>
    <n v="0"/>
    <n v="0"/>
    <n v="0"/>
    <n v="0"/>
    <n v="0"/>
    <n v="0"/>
    <n v="0"/>
    <n v="0"/>
    <n v="0"/>
    <n v="0"/>
    <n v="0"/>
    <n v="0"/>
    <n v="0"/>
    <n v="0"/>
    <n v="0"/>
    <n v="0"/>
    <n v="0"/>
    <n v="0"/>
    <n v="0"/>
    <n v="0"/>
    <n v="0"/>
    <n v="0"/>
    <n v="0"/>
    <n v="0"/>
    <n v="0"/>
    <n v="0"/>
    <n v="0"/>
    <n v="0"/>
    <n v="0"/>
    <n v="0"/>
    <s v="Meetmete 4.1. ja 4.2. kogumaksumus perioodil 2018-2020 on kokku ca ... miljonit eurot"/>
  </r>
  <r>
    <x v="0"/>
    <s v="Meede 4.1."/>
    <s v="Eesti keelest erineva emakeelega inimestele konkurentsivõimeliste haridusvõimaluste tagamine"/>
    <s v="Eesti keelest erineva emakeelega üldhariduskoolides on loodud keskkond, kus pööratakse tähelepanu iga õppija arengule ja potentsiaali väljaarendamisele ning väärtustatakse isiksuse erinevusi; kutseõppes on tagatatudvene õppekeeles õppijaile täiendavad eesti keele õppe võimalused, et lõpetajad omandaksid edasiõppimiseks ja tööalaseks toimetulekuks vajaliku eesti keele oskuse; kõrghariduses  on aidatud vene emakeelega, Eestis keskhariduse omandanud üliõpilastel arendada akadeemiliseks õppeks ja hilisemaks töötamiseks vajalikku eesti keele ja erialase keele oskust"/>
    <m/>
    <m/>
    <x v="0"/>
    <m/>
    <m/>
    <m/>
    <m/>
    <n v="0"/>
    <n v="0"/>
    <n v="0"/>
    <n v="0"/>
    <n v="0"/>
    <n v="0"/>
    <n v="0"/>
    <n v="0"/>
    <n v="0"/>
    <n v="0"/>
    <n v="0"/>
    <n v="0"/>
    <n v="0"/>
    <n v="0"/>
    <n v="0"/>
    <n v="0"/>
    <n v="0"/>
    <n v="0"/>
    <n v="0"/>
    <n v="0"/>
    <n v="0"/>
    <n v="0"/>
    <n v="0"/>
    <n v="0"/>
    <n v="0"/>
    <n v="0"/>
    <n v="0"/>
    <n v="0"/>
    <n v="0"/>
    <n v="0"/>
    <n v="0"/>
    <s v="Rahalised vahendid ette nähtud alltoodud arengukavas."/>
  </r>
  <r>
    <x v="0"/>
    <m/>
    <m/>
    <s v="Eesti keelest erineva emakeelega põhikooli lõpetajate osakaal, kes valdavad eesti keelt vähemalt tasemel B1 (%)._x000a_"/>
    <s v="x"/>
    <s v="x"/>
    <x v="0"/>
    <s v="2014: 67% "/>
    <m/>
    <m/>
    <m/>
    <m/>
    <m/>
    <m/>
    <m/>
    <m/>
    <s v="70%"/>
    <m/>
    <m/>
    <m/>
    <m/>
    <m/>
    <s v="74%"/>
    <m/>
    <m/>
    <m/>
    <m/>
    <m/>
    <s v="78%"/>
    <m/>
    <m/>
    <m/>
    <m/>
    <m/>
    <s v="82%"/>
    <m/>
    <m/>
    <m/>
    <m/>
    <m/>
    <s v="82%"/>
    <m/>
    <m/>
  </r>
  <r>
    <x v="0"/>
    <m/>
    <m/>
    <s v="Vene õppekeelega põhikooli lõpetajate osakaalu kasv 82%-ni, kes valdavad eesti keelt vähemalt tasemel B1."/>
    <s v="x"/>
    <s v="x"/>
    <x v="0"/>
    <m/>
    <m/>
    <m/>
    <m/>
    <m/>
    <m/>
    <m/>
    <m/>
    <m/>
    <m/>
    <m/>
    <m/>
    <m/>
    <m/>
    <m/>
    <m/>
    <m/>
    <m/>
    <m/>
    <m/>
    <m/>
    <m/>
    <m/>
    <m/>
    <m/>
    <m/>
    <m/>
    <m/>
    <m/>
    <m/>
    <m/>
    <m/>
    <m/>
    <m/>
    <m/>
    <m/>
  </r>
  <r>
    <x v="0"/>
    <m/>
    <m/>
    <s v="Eesti keele kui teise keele riigieksami vähemalt 60% tulemusega sooritanute osakaal eksamil käinud gümnaasiumilõpetajate arvust"/>
    <s v="x"/>
    <s v="x"/>
    <x v="0"/>
    <s v="2012: 70,3%"/>
    <m/>
    <m/>
    <m/>
    <m/>
    <m/>
    <m/>
    <m/>
    <m/>
    <s v="– "/>
    <m/>
    <m/>
    <m/>
    <m/>
    <m/>
    <s v="75%"/>
    <m/>
    <m/>
    <m/>
    <m/>
    <m/>
    <s v="– "/>
    <m/>
    <m/>
    <m/>
    <m/>
    <m/>
    <s v="– "/>
    <m/>
    <m/>
    <m/>
    <m/>
    <m/>
    <s v="75% "/>
    <m/>
    <m/>
  </r>
  <r>
    <x v="4"/>
    <s v="4.1.1."/>
    <s v="Üldhariduskoolide, lasteaedade ja kutseõppeasutuse õpetajate ja koolijuhtide koolitussüsteemi kujundamine, mh LAK-õppe koolitused, eesti keelest erineva emakeelega haridusasutuste töötajate väärtuskasvatuse koolitused, eesti keelest erineva emakeelega koolide õpetajate ja koolijuhtide erialaste pädevuste arendamine (üldise koolitussüsteemi arendamise raames)"/>
    <s v="Eesti keelest erineva emakeelega haridusasutuste töötajatele on läbiviidud erinevad koolitused"/>
    <m/>
    <m/>
    <x v="3"/>
    <m/>
    <m/>
    <m/>
    <m/>
    <m/>
    <m/>
    <m/>
    <m/>
    <m/>
    <n v="0"/>
    <m/>
    <m/>
    <m/>
    <m/>
    <m/>
    <n v="0"/>
    <m/>
    <m/>
    <m/>
    <m/>
    <m/>
    <n v="0"/>
    <m/>
    <m/>
    <m/>
    <m/>
    <m/>
    <n v="0"/>
    <m/>
    <m/>
    <m/>
    <m/>
    <m/>
    <n v="0"/>
    <n v="0"/>
    <s v="Tegevuse rahastamine toimub Eesti elukestva õppe strateegia &quot;Üldharidusprogrammi&quot; kaudu."/>
  </r>
  <r>
    <x v="4"/>
    <s v="4.1.2."/>
    <s v="Õpikäsituse rakendamist toetavate koostöövormide loomine ja toetamine"/>
    <s v="Välja on kujunenud õpikäsituse rakendamist soodustavad koostöövõrgustikud, kus osalevad aktiivselt ka vene õppekeelega koolid. Osapoolte vastutus õpikäsituse rakendamise eest on selgemalt määratletud ja võimalused kaardistatud."/>
    <m/>
    <m/>
    <x v="3"/>
    <m/>
    <m/>
    <m/>
    <m/>
    <m/>
    <m/>
    <m/>
    <m/>
    <m/>
    <n v="0"/>
    <m/>
    <m/>
    <m/>
    <m/>
    <m/>
    <n v="0"/>
    <m/>
    <m/>
    <m/>
    <m/>
    <m/>
    <n v="0"/>
    <m/>
    <m/>
    <m/>
    <m/>
    <m/>
    <n v="0"/>
    <m/>
    <m/>
    <m/>
    <m/>
    <m/>
    <n v="0"/>
    <n v="0"/>
    <s v="Tegevuse rahastamine toimub Eesti elukestva õppe strateegia &quot;Üldharidusprogrammi&quot; kaudu."/>
  </r>
  <r>
    <x v="4"/>
    <s v="4.1.3."/>
    <s v="Teadlike valikute kujundamiseks info- ja nõustamisteenuste pakkumine "/>
    <s v="Eesti keelest erineva emakeelega koolide õpilased on saanud infot ja läbinud nõustamise"/>
    <m/>
    <m/>
    <x v="3"/>
    <m/>
    <m/>
    <m/>
    <m/>
    <m/>
    <m/>
    <m/>
    <m/>
    <m/>
    <n v="0"/>
    <m/>
    <m/>
    <m/>
    <m/>
    <m/>
    <n v="0"/>
    <m/>
    <m/>
    <m/>
    <m/>
    <m/>
    <n v="0"/>
    <m/>
    <m/>
    <m/>
    <m/>
    <m/>
    <n v="0"/>
    <m/>
    <m/>
    <m/>
    <m/>
    <m/>
    <n v="0"/>
    <n v="0"/>
    <s v="Tegevuse rahastamine toimub Eesti elukestva õppe strateegia &quot;Õppe- ja karjäärinõustamise programmi&quot; kaudu."/>
  </r>
  <r>
    <x v="4"/>
    <s v="4.1.4."/>
    <s v="Eesti keelest erineva emakeelega õpilaste toetamine eesti keele omandamisel."/>
    <s v="Eesti keelest erineva emakeelega lastele ja noortele on tagatud kõigil haridustasemetel võimalused Eesti ühiskonnas aktiivseks toimimiseks ja õpingute jätkamiseks võrdselt eesti keelt emakeelena rääkivate õppuritega."/>
    <m/>
    <m/>
    <x v="3"/>
    <m/>
    <m/>
    <m/>
    <m/>
    <m/>
    <m/>
    <m/>
    <m/>
    <m/>
    <n v="0"/>
    <m/>
    <m/>
    <m/>
    <m/>
    <m/>
    <n v="0"/>
    <m/>
    <m/>
    <m/>
    <m/>
    <m/>
    <n v="0"/>
    <m/>
    <m/>
    <m/>
    <m/>
    <m/>
    <n v="0"/>
    <m/>
    <m/>
    <m/>
    <m/>
    <m/>
    <n v="0"/>
    <n v="0"/>
    <s v="Tegevuse rahastamine toimub Eesti elukestva õppe strateegia &quot;Üldharidusprogrammi&quot; kaudu."/>
  </r>
  <r>
    <x v="4"/>
    <s v="4.1.5."/>
    <s v="Eesti keele oskuse tagamine ning eesti keelt väärtustavate hoiakute kujundamine eesti keelest erineva emakeelega üldhariduses läbi tegevuste, mis annavad võimaluse eesti keelest erineva emakeelega õpilastel koolis õpitud eesti keelt reaalelus kasutada."/>
    <s v="Eesti keele õppe arendamisel on toetatud haridusasutusi"/>
    <m/>
    <m/>
    <x v="3"/>
    <m/>
    <m/>
    <m/>
    <m/>
    <m/>
    <m/>
    <m/>
    <m/>
    <m/>
    <n v="0"/>
    <m/>
    <m/>
    <m/>
    <m/>
    <m/>
    <n v="0"/>
    <m/>
    <m/>
    <m/>
    <m/>
    <m/>
    <n v="0"/>
    <m/>
    <m/>
    <m/>
    <m/>
    <m/>
    <n v="0"/>
    <m/>
    <m/>
    <m/>
    <m/>
    <m/>
    <n v="0"/>
    <n v="0"/>
    <s v="Tegevuse rahastamine toimub Eesti elukestva õppe strateegia &quot;Üldharidusprogrammi&quot; kaudu."/>
  </r>
  <r>
    <x v="4"/>
    <s v="4.1.6."/>
    <s v="Kutsehariduse valdkonnas luuakse eesti keelest erineva emakeelega õppuritele võimalused täiendavaks eesti keele õppeks"/>
    <s v="Eesti keeles toimuva õppe osakaal (%) kutsekeskhariduse õppekavadel (vastaval õppeaastal sisseastujatele)."/>
    <m/>
    <m/>
    <x v="3"/>
    <m/>
    <m/>
    <m/>
    <m/>
    <m/>
    <m/>
    <m/>
    <m/>
    <m/>
    <n v="0"/>
    <m/>
    <m/>
    <m/>
    <m/>
    <m/>
    <n v="0"/>
    <m/>
    <m/>
    <m/>
    <m/>
    <m/>
    <n v="0"/>
    <m/>
    <m/>
    <m/>
    <m/>
    <m/>
    <n v="0"/>
    <m/>
    <m/>
    <m/>
    <m/>
    <m/>
    <n v="0"/>
    <n v="0"/>
    <s v="Tegevuse rahastamine toimub Eesti elukestva õppe strateegia &quot;Tööturu ja õppe tihedama seostamise programmi&quot; ja &quot;Kutseharidusprogrammi&quot; kaudu."/>
  </r>
  <r>
    <x v="0"/>
    <s v="Meede 4.2. "/>
    <s v="Eesti keelele ülemineku, keelekümbluse ja lõimitud aineõppe läbiviimise ja rakendamise toetamine"/>
    <s v="Programmis osalejad on iga-aastaselt tunnustatud üleriigiliselt või piirkondlikult; keelekümblusrühmade lapsed ja keelekümblusklasside õpilased on kaasatud aktiivset keeleõpet võimaldavatesse tunnivälistesse õppimisviisidesse; õpetajad kasutavad õppetöös keelekümblusmetoodika põhimõtteid ja on rahul tööga, väljatöötatud juhendite ja materjalide kvaliteedi ning kättesaadavusega; keelekümblus on kajastatud programmiga liitunud kohalike omavalitsuste arengukavades"/>
    <m/>
    <m/>
    <x v="0"/>
    <m/>
    <m/>
    <m/>
    <m/>
    <n v="0"/>
    <n v="0"/>
    <n v="0"/>
    <n v="0"/>
    <n v="0"/>
    <n v="0"/>
    <n v="0"/>
    <n v="0"/>
    <n v="0"/>
    <n v="0"/>
    <n v="0"/>
    <n v="0"/>
    <n v="0"/>
    <n v="0"/>
    <n v="0"/>
    <n v="0"/>
    <n v="0"/>
    <n v="0"/>
    <n v="0"/>
    <n v="0"/>
    <n v="0"/>
    <n v="0"/>
    <n v="0"/>
    <n v="0"/>
    <n v="0"/>
    <n v="0"/>
    <n v="0"/>
    <n v="0"/>
    <n v="0"/>
    <n v="0"/>
    <n v="0"/>
    <s v="Tegevuse rahastamine toimub Eesti elukestva õppe strateegia &quot;Üldharidusprogrammi&quot; kaudu."/>
  </r>
  <r>
    <x v="0"/>
    <m/>
    <m/>
    <s v="Eestikeelses õppes ja keelekümblusklassides osalevate eesti keelest erineva emakeelega õpilaste osakaal (%) "/>
    <s v="x"/>
    <s v="x"/>
    <x v="0"/>
    <s v="2015: 28,7%"/>
    <m/>
    <m/>
    <m/>
    <m/>
    <m/>
    <m/>
    <m/>
    <m/>
    <s v="suureneb"/>
    <m/>
    <m/>
    <m/>
    <m/>
    <m/>
    <s v="suureneb"/>
    <m/>
    <m/>
    <m/>
    <m/>
    <m/>
    <s v="suureneb"/>
    <m/>
    <m/>
    <m/>
    <m/>
    <m/>
    <s v="suureneb"/>
    <m/>
    <m/>
    <m/>
    <m/>
    <m/>
    <s v="suureneb"/>
    <m/>
    <m/>
  </r>
  <r>
    <x v="0"/>
    <m/>
    <m/>
    <s v="Eestikeelsete tundide osakaal kõikidest tundidest eesti/vene ja vene õppekeelega koolide põhikooliastmes, kus ei toimu keelekümblust "/>
    <s v="x"/>
    <s v="x"/>
    <x v="0"/>
    <s v="2015: 17%"/>
    <m/>
    <m/>
    <m/>
    <m/>
    <m/>
    <m/>
    <m/>
    <m/>
    <s v="suureneb"/>
    <m/>
    <m/>
    <m/>
    <m/>
    <m/>
    <s v="suureneb"/>
    <m/>
    <m/>
    <m/>
    <m/>
    <m/>
    <s v="suureneb"/>
    <m/>
    <m/>
    <m/>
    <m/>
    <m/>
    <s v="suureneb"/>
    <m/>
    <m/>
    <m/>
    <m/>
    <m/>
    <s v="suureneb"/>
    <m/>
    <m/>
  </r>
  <r>
    <x v="4"/>
    <s v="4.2.1."/>
    <s v="Keelekümblusprogrammi arendamine ja rakendamine"/>
    <s v="Suureneb eesti õppekeelega koolides ja keelekümblusprogrammis osalevate eesti keelest erineva emakeelega õppijate arv."/>
    <m/>
    <m/>
    <x v="3"/>
    <m/>
    <m/>
    <m/>
    <m/>
    <m/>
    <m/>
    <m/>
    <m/>
    <m/>
    <n v="0"/>
    <m/>
    <m/>
    <m/>
    <m/>
    <m/>
    <n v="0"/>
    <m/>
    <m/>
    <m/>
    <m/>
    <m/>
    <n v="0"/>
    <m/>
    <m/>
    <m/>
    <m/>
    <m/>
    <n v="0"/>
    <m/>
    <m/>
    <m/>
    <m/>
    <m/>
    <n v="0"/>
    <n v="0"/>
    <s v="Tegevuse rahastamine toimub Eesti elukestva õppe strateegia &quot;Üldharidusprogrammi&quot; kaudu."/>
  </r>
  <r>
    <x v="4"/>
    <s v="4.2.2."/>
    <s v="Institutsionaalne toetus haridusasutustele üleminekul eestikeelsele aineõppele"/>
    <s v="Toetust on saanud haridusasutused"/>
    <m/>
    <m/>
    <x v="3"/>
    <m/>
    <m/>
    <m/>
    <m/>
    <m/>
    <m/>
    <m/>
    <m/>
    <m/>
    <n v="0"/>
    <m/>
    <m/>
    <m/>
    <m/>
    <m/>
    <n v="0"/>
    <m/>
    <m/>
    <m/>
    <m/>
    <m/>
    <n v="0"/>
    <m/>
    <m/>
    <m/>
    <m/>
    <m/>
    <n v="0"/>
    <m/>
    <m/>
    <m/>
    <m/>
    <m/>
    <n v="0"/>
    <n v="0"/>
    <s v="Tegevuse rahastamine toimub Eesti elukestva õppe strateegia &quot;Üldharidusprogrammi&quot; kaudu."/>
  </r>
  <r>
    <x v="0"/>
    <s v="Eesmärk 5"/>
    <s v="Eesti keelest erineva emakeelega noored osalevad aktiivselt noorsootöös ja neil on tihedad kontaktid eestikeelsete eakaaslastega"/>
    <m/>
    <m/>
    <m/>
    <x v="0"/>
    <m/>
    <m/>
    <m/>
    <m/>
    <n v="0"/>
    <n v="0"/>
    <n v="0"/>
    <n v="0"/>
    <n v="0"/>
    <n v="0"/>
    <n v="0"/>
    <n v="0"/>
    <n v="0"/>
    <n v="0"/>
    <n v="0"/>
    <n v="0"/>
    <n v="0"/>
    <n v="0"/>
    <n v="0"/>
    <n v="0"/>
    <n v="0"/>
    <n v="0"/>
    <n v="0"/>
    <n v="0"/>
    <n v="0"/>
    <n v="0"/>
    <n v="0"/>
    <n v="0"/>
    <n v="0"/>
    <n v="0"/>
    <n v="0"/>
    <n v="0"/>
    <n v="0"/>
    <n v="0"/>
    <n v="0"/>
    <m/>
  </r>
  <r>
    <x v="0"/>
    <s v="Meede 5.1."/>
    <s v="Võimaluste suurendamine noorte omaalgatuseks, ühistegevuseks ja osaluseks"/>
    <s v="Noortel on avaramad võimalused arenguks ja eneseteostuseks; eesti keelest erineva emakeelega noored saavad osa noorsootöö võimalustest, mis toetab sidusa ja loova ühiskonna kujunemist"/>
    <m/>
    <m/>
    <x v="0"/>
    <m/>
    <m/>
    <m/>
    <m/>
    <n v="0"/>
    <n v="0"/>
    <n v="0"/>
    <n v="0"/>
    <n v="0"/>
    <n v="0"/>
    <n v="0"/>
    <n v="0"/>
    <n v="0"/>
    <n v="0"/>
    <n v="0"/>
    <n v="0"/>
    <n v="0"/>
    <n v="0"/>
    <n v="0"/>
    <n v="0"/>
    <n v="0"/>
    <n v="0"/>
    <n v="0"/>
    <n v="0"/>
    <n v="0"/>
    <n v="0"/>
    <n v="0"/>
    <n v="0"/>
    <n v="0"/>
    <n v="0"/>
    <n v="0"/>
    <n v="0"/>
    <n v="0"/>
    <n v="0"/>
    <n v="0"/>
    <s v="Tegevuse rahastamine toimub &quot;Noortevaldkonna programmi&quot; kaudu"/>
  </r>
  <r>
    <x v="0"/>
    <m/>
    <m/>
    <s v="Organiseeritud osalusvõimaluste arv"/>
    <s v="x"/>
    <s v="x"/>
    <x v="0"/>
    <s v="2013: 80"/>
    <m/>
    <m/>
    <m/>
    <m/>
    <m/>
    <m/>
    <m/>
    <m/>
    <s v="140"/>
    <m/>
    <m/>
    <m/>
    <m/>
    <m/>
    <s v="155"/>
    <m/>
    <m/>
    <m/>
    <m/>
    <m/>
    <s v="170"/>
    <m/>
    <m/>
    <m/>
    <m/>
    <m/>
    <s v="185"/>
    <m/>
    <m/>
    <m/>
    <m/>
    <m/>
    <s v="200"/>
    <m/>
    <m/>
  </r>
  <r>
    <x v="5"/>
    <s v="5.1.1. "/>
    <s v="Noorte omaalgatuse ja ühistegevuse toetamine"/>
    <s v="Noortel (sh eesti keelest erineva emakeelega) on rohkem teadmisi, motivatsiooni ja võimalusi, et enda ja kogu ühiskonna elu arendamiseks tegevusi ellu viia"/>
    <m/>
    <m/>
    <x v="3"/>
    <m/>
    <m/>
    <m/>
    <m/>
    <m/>
    <m/>
    <m/>
    <m/>
    <m/>
    <n v="0"/>
    <m/>
    <m/>
    <m/>
    <m/>
    <m/>
    <n v="0"/>
    <m/>
    <m/>
    <m/>
    <m/>
    <m/>
    <n v="0"/>
    <m/>
    <m/>
    <m/>
    <m/>
    <m/>
    <n v="0"/>
    <m/>
    <m/>
    <m/>
    <m/>
    <m/>
    <n v="0"/>
    <n v="0"/>
    <s v="Tegevuse rahastamine toimub &quot;Noortevaldkonna programmi&quot; kaudu"/>
  </r>
  <r>
    <x v="5"/>
    <s v="5.1.2."/>
    <s v="Mitmekesiste osalusvõimaluste arendamine"/>
    <s v="Noortel on rohkem organiseeritud osalusvõimalusi, sh nendes omavalitsustes, kus valdav elanikkond on eesti keelest erineva emakeelega"/>
    <m/>
    <m/>
    <x v="3"/>
    <m/>
    <m/>
    <m/>
    <m/>
    <m/>
    <m/>
    <m/>
    <m/>
    <m/>
    <n v="0"/>
    <m/>
    <m/>
    <m/>
    <m/>
    <m/>
    <n v="0"/>
    <m/>
    <m/>
    <m/>
    <m/>
    <m/>
    <n v="0"/>
    <m/>
    <m/>
    <m/>
    <m/>
    <m/>
    <n v="0"/>
    <m/>
    <m/>
    <m/>
    <m/>
    <m/>
    <n v="0"/>
    <n v="0"/>
    <s v="Tegevuse rahastamine toimub &quot;Noortevaldkonna programmi&quot; kaudu"/>
  </r>
  <r>
    <x v="5"/>
    <s v="5.1.3."/>
    <s v="Koolitatakse ja nõustatakse noorsootöötajaid"/>
    <s v="Eesti keelest erineva emakeelega noorsootöötajad omavad kättesaadavaid võimalusi enesetäienduseks. Läbi on viidud eesti keelest erineva emakeelega noorsootöötajate osalusel koolitused asjakohaste meetodite kasutamiseks noorsootöös ning tööks erinevate noortega."/>
    <m/>
    <m/>
    <x v="3"/>
    <m/>
    <m/>
    <m/>
    <m/>
    <m/>
    <m/>
    <m/>
    <m/>
    <m/>
    <n v="0"/>
    <m/>
    <m/>
    <m/>
    <m/>
    <m/>
    <n v="0"/>
    <m/>
    <m/>
    <m/>
    <m/>
    <m/>
    <n v="0"/>
    <m/>
    <m/>
    <m/>
    <m/>
    <m/>
    <n v="0"/>
    <m/>
    <m/>
    <m/>
    <m/>
    <m/>
    <n v="0"/>
    <n v="0"/>
    <s v="Tegevuse rahastamine toimub &quot;Noortevaldkonna programmi&quot; kaudu"/>
  </r>
  <r>
    <x v="0"/>
    <s v="Eesmärk 6"/>
    <s v="Eesti keelest erineva emakeelega tööealistele elanikele on tagatud võimalused täiendada oma teadmisi ja oskusi konkurentsivõimeliseks osalemiseks tööturul"/>
    <m/>
    <m/>
    <m/>
    <x v="0"/>
    <m/>
    <m/>
    <m/>
    <m/>
    <n v="0"/>
    <n v="0"/>
    <n v="0"/>
    <n v="0"/>
    <n v="0"/>
    <n v="0"/>
    <n v="0"/>
    <n v="0"/>
    <n v="0"/>
    <n v="0"/>
    <n v="0"/>
    <n v="0"/>
    <n v="0"/>
    <n v="0"/>
    <n v="0"/>
    <n v="0"/>
    <n v="0"/>
    <n v="0"/>
    <n v="0"/>
    <n v="0"/>
    <n v="0"/>
    <n v="0"/>
    <n v="0"/>
    <n v="0"/>
    <n v="0"/>
    <n v="0"/>
    <n v="0"/>
    <n v="0"/>
    <n v="0"/>
    <n v="0"/>
    <n v="0"/>
    <m/>
  </r>
  <r>
    <x v="0"/>
    <s v="Meede 6.1. "/>
    <s v="Teisest rahvusest elanike tööhõivevõime tõstmine"/>
    <s v="Toetatud on inimeste tööturule sisenemist läbi erinevate koolitus-, teavitus- ja nõustamisteenuste, lähenedes igale inimesele, sõltumata rahvusest või keeleoskusest, individuaalselt, selgitades välja konkreetse töötu vajadused ning väljavaated tööturule sisenemiseks"/>
    <m/>
    <m/>
    <x v="0"/>
    <m/>
    <m/>
    <m/>
    <m/>
    <n v="0"/>
    <n v="0"/>
    <n v="0"/>
    <n v="0"/>
    <n v="0"/>
    <n v="0"/>
    <n v="0"/>
    <n v="0"/>
    <n v="0"/>
    <n v="0"/>
    <n v="0"/>
    <n v="0"/>
    <n v="0"/>
    <n v="0"/>
    <n v="0"/>
    <n v="0"/>
    <n v="0"/>
    <n v="0"/>
    <n v="0"/>
    <n v="0"/>
    <n v="0"/>
    <n v="0"/>
    <n v="0"/>
    <n v="0"/>
    <n v="0"/>
    <n v="0"/>
    <n v="0"/>
    <n v="0"/>
    <n v="0"/>
    <n v="0"/>
    <n v="0"/>
    <s v="Tegevuse elluviimine toimub „Heaolu arengukava 2016–2023“ alaeesmärgi 1 kaudu"/>
  </r>
  <r>
    <x v="0"/>
    <m/>
    <m/>
    <s v="Tööturuteenustel osalejate osakaal registreeritud töötute hulgas, kelle põhiline suhtluskeel ei ole eesti keel (keskmiselt kuus)"/>
    <s v="x"/>
    <s v="x"/>
    <x v="0"/>
    <s v="2014: 30,9%"/>
    <m/>
    <m/>
    <m/>
    <m/>
    <m/>
    <m/>
    <m/>
    <m/>
    <s v="38%"/>
    <m/>
    <m/>
    <m/>
    <m/>
    <m/>
    <s v="40%"/>
    <m/>
    <m/>
    <m/>
    <m/>
    <m/>
    <s v="37%"/>
    <m/>
    <m/>
    <m/>
    <m/>
    <m/>
    <s v="35%"/>
    <m/>
    <m/>
    <m/>
    <m/>
    <m/>
    <s v="35%"/>
    <m/>
    <m/>
  </r>
  <r>
    <x v="6"/>
    <s v="6.1.1."/>
    <s v="Tööturuteenuste osutamine"/>
    <s v="Teenuses osalenud isikute arv"/>
    <m/>
    <m/>
    <x v="6"/>
    <m/>
    <m/>
    <m/>
    <m/>
    <m/>
    <m/>
    <m/>
    <m/>
    <m/>
    <n v="0"/>
    <m/>
    <m/>
    <m/>
    <m/>
    <m/>
    <n v="0"/>
    <m/>
    <m/>
    <m/>
    <m/>
    <m/>
    <n v="0"/>
    <m/>
    <m/>
    <m/>
    <m/>
    <m/>
    <n v="0"/>
    <m/>
    <m/>
    <m/>
    <m/>
    <m/>
    <n v="0"/>
    <n v="0"/>
    <s v="Tegevuse elluviimine toimub „Heaolu arengukava 2016–2023“ alaeesmärgi 1 kaudu"/>
  </r>
  <r>
    <x v="6"/>
    <s v="6.1.2."/>
    <s v="Teenuse &quot;Minu esimene töökoht&quot; pakkumine - Noortele vanuses 17-29, kellel puudub või on vähene töökogemus ning puudub erialane haridus (st on alg-, -põhi- või keskharidusega), ja kes on olnud töötukassas 4 kuud töötuna arvel pakutakse teenust &quot;Minu esimene töökoht&quot;."/>
    <s v="Teenuses osalenud isikute arv"/>
    <m/>
    <m/>
    <x v="6"/>
    <m/>
    <m/>
    <m/>
    <m/>
    <m/>
    <m/>
    <m/>
    <m/>
    <m/>
    <n v="0"/>
    <m/>
    <m/>
    <m/>
    <m/>
    <m/>
    <n v="0"/>
    <m/>
    <m/>
    <m/>
    <m/>
    <m/>
    <n v="0"/>
    <m/>
    <m/>
    <m/>
    <m/>
    <m/>
    <n v="0"/>
    <m/>
    <m/>
    <m/>
    <m/>
    <m/>
    <n v="0"/>
    <n v="0"/>
    <s v="Tegevuse elluviimine toimub „Heaolu arengukava 2016–2023“ alaeesmärgi 1 kaudu"/>
  </r>
  <r>
    <x v="6"/>
    <s v="6.1.3."/>
    <s v="Mobiilsustoetuse pakkumine - Inimestele, kes on töötukassas vähemalt 6 kuud töötuna arvel olnud ja võtavad vastu töökoha elukohast kaugemal, makstakse 4 kuu jooksul mobiilsustoetust."/>
    <s v="Teenuses osalenud isikute arv"/>
    <m/>
    <m/>
    <x v="6"/>
    <m/>
    <m/>
    <m/>
    <m/>
    <m/>
    <m/>
    <m/>
    <m/>
    <m/>
    <n v="0"/>
    <m/>
    <m/>
    <m/>
    <m/>
    <m/>
    <n v="0"/>
    <m/>
    <m/>
    <m/>
    <m/>
    <m/>
    <n v="0"/>
    <m/>
    <m/>
    <m/>
    <m/>
    <m/>
    <n v="0"/>
    <m/>
    <m/>
    <m/>
    <m/>
    <m/>
    <n v="0"/>
    <n v="0"/>
    <s v="Tegevuse elluviimine toimub „Heaolu arengukava 2016–2023“ alaeesmärgi 1 kaudu"/>
  </r>
  <r>
    <x v="6"/>
    <s v="6.1.4."/>
    <s v="Täiendavate tööturuteenuste ja töökohta loomise toetuse pakkumine Ida-Virumaa suurkoondamistele reageerimiseks, et aidata töölepiirkonnas töö kaotanud inimesi ja vähendada kõrget regionaalset tööpuudust (tegemist on eritegevusega, mida osutatakse kuni 31.12.2017)."/>
    <s v="Teenuses osalenud isikute arv "/>
    <m/>
    <m/>
    <x v="6"/>
    <m/>
    <m/>
    <m/>
    <m/>
    <m/>
    <m/>
    <m/>
    <m/>
    <m/>
    <n v="0"/>
    <m/>
    <m/>
    <m/>
    <m/>
    <m/>
    <n v="0"/>
    <m/>
    <m/>
    <m/>
    <m/>
    <m/>
    <n v="0"/>
    <m/>
    <m/>
    <m/>
    <m/>
    <m/>
    <n v="0"/>
    <m/>
    <m/>
    <m/>
    <m/>
    <m/>
    <n v="0"/>
    <n v="0"/>
    <s v="Tegevuse elluviimine toimub „Heaolu arengukava 2016-2023“ alaeesmärgi 1 kaudu. Tegevuse rahastamine toimub Euroopa Globaliseerumisfondi vahenditest(taotlus ettevalmistamisel)ja tööhõiveprogrammi eelarvest."/>
  </r>
  <r>
    <x v="0"/>
    <s v="Meede 6.2. "/>
    <s v="Eesti keelest erineva emakeelega inimeste riigikeeleoskuse parendamine"/>
    <s v="Loodud on eesti keele õppe kvaliteedi tagamise süsteem, võimalused eesti keelt ebapiisavalt oskavatele inimestele õppes osalemiseks ning kaasaegsete eesti keele omandamiseks vajalikud digitaalsed õppevahendid"/>
    <m/>
    <m/>
    <x v="0"/>
    <m/>
    <m/>
    <m/>
    <m/>
    <n v="0"/>
    <n v="0"/>
    <n v="0"/>
    <n v="0"/>
    <n v="0"/>
    <n v="0"/>
    <n v="0"/>
    <n v="0"/>
    <n v="0"/>
    <n v="0"/>
    <n v="0"/>
    <n v="0"/>
    <n v="0"/>
    <n v="0"/>
    <n v="0"/>
    <n v="0"/>
    <n v="0"/>
    <n v="0"/>
    <n v="0"/>
    <n v="0"/>
    <n v="0"/>
    <n v="0"/>
    <n v="0"/>
    <n v="0"/>
    <n v="0"/>
    <n v="0"/>
    <n v="0"/>
    <n v="0"/>
    <n v="0"/>
    <n v="0"/>
    <n v="0"/>
    <s v="Tegevuse rahastamine toimub Üldharidusprogrammi, Keeleprogrammi ja Eesti Elukestva õppe strateegia digipööre programmi kaudu."/>
  </r>
  <r>
    <x v="0"/>
    <m/>
    <m/>
    <s v="Eesti keele tasemeeksami (tasemed A2-C1) sooritanute osakaal eksamil käinutest (%)"/>
    <s v="x"/>
    <s v="x"/>
    <x v="0"/>
    <s v="2014: 51,5%"/>
    <m/>
    <m/>
    <m/>
    <m/>
    <m/>
    <m/>
    <m/>
    <m/>
    <s v="54%"/>
    <m/>
    <m/>
    <m/>
    <m/>
    <m/>
    <s v="54%"/>
    <m/>
    <m/>
    <m/>
    <m/>
    <m/>
    <s v="54%"/>
    <m/>
    <m/>
    <m/>
    <m/>
    <m/>
    <s v="55%"/>
    <m/>
    <m/>
    <m/>
    <m/>
    <m/>
    <s v="55%"/>
    <m/>
    <m/>
  </r>
  <r>
    <x v="6"/>
    <s v="6.2.1."/>
    <s v="Täiskasvanute eesti keele õppe kvaliteeditagamise- ja järelvalvesüsteemi kujundamine"/>
    <s v="1. Loodud on toimiv koolitajate ja koolitusasutuste järelvalvesüsteem_x000a_2. Perioodi lõpuks vastavad täiskasvanute eesti keele koolitajad ja koolitusasutused kehtestatud nõuetele"/>
    <m/>
    <m/>
    <x v="3"/>
    <m/>
    <m/>
    <m/>
    <m/>
    <m/>
    <m/>
    <m/>
    <m/>
    <m/>
    <n v="0"/>
    <m/>
    <m/>
    <m/>
    <m/>
    <m/>
    <n v="0"/>
    <m/>
    <m/>
    <m/>
    <m/>
    <m/>
    <n v="0"/>
    <m/>
    <m/>
    <m/>
    <m/>
    <m/>
    <n v="0"/>
    <m/>
    <m/>
    <m/>
    <m/>
    <m/>
    <n v="0"/>
    <n v="0"/>
    <s v="Tegevuste rahastamine toimub Keeleprogrammi kaudu."/>
  </r>
  <r>
    <x v="6"/>
    <s v="6.2.2."/>
    <s v="Nõrgema konkurentsivõimega eesti keelt ebapiisavalt oskavatele inimestele õppes osalemiseks tingimuste loomine, kus sihtrühmadele pakutakse nende vajadustest lähtuvalt paindlikke eesti keele õppe võimalusi õpivalmiduse ning tööturul konkurentsivõime suurendamiseks"/>
    <s v="1) 70 % eesti keele õppe lõpetanutest tõstab oma keeleoskust  vähemalt ühe taseme võrra _x000a_2) 60 % toetatud eesti keele õppes osalenud täiskasvanutest sooritab keeleeksami"/>
    <m/>
    <m/>
    <x v="3"/>
    <m/>
    <m/>
    <m/>
    <m/>
    <m/>
    <m/>
    <m/>
    <m/>
    <m/>
    <n v="0"/>
    <m/>
    <m/>
    <m/>
    <m/>
    <m/>
    <n v="0"/>
    <m/>
    <m/>
    <m/>
    <m/>
    <m/>
    <n v="0"/>
    <m/>
    <m/>
    <m/>
    <m/>
    <m/>
    <n v="0"/>
    <m/>
    <m/>
    <m/>
    <m/>
    <m/>
    <n v="0"/>
    <n v="0"/>
    <s v="Tegevuse rahastamine toimub Üldharidusprogrammi kaudu. "/>
  </r>
  <r>
    <x v="6"/>
    <s v="6.2.3."/>
    <s v="Tagatakse eesti keele omandamiseks vajaliku digitaalse õppevara olemasolu"/>
    <s v="Kõik eesti keele testitavad tasemed on kaasaegse õppevaraga kaetud"/>
    <m/>
    <m/>
    <x v="3"/>
    <m/>
    <m/>
    <m/>
    <m/>
    <m/>
    <m/>
    <m/>
    <m/>
    <m/>
    <n v="0"/>
    <m/>
    <m/>
    <m/>
    <m/>
    <m/>
    <n v="0"/>
    <m/>
    <m/>
    <m/>
    <m/>
    <m/>
    <n v="0"/>
    <m/>
    <m/>
    <m/>
    <m/>
    <m/>
    <n v="0"/>
    <m/>
    <m/>
    <m/>
    <m/>
    <m/>
    <n v="0"/>
    <n v="0"/>
    <s v="Tegevuse rahastamine toimub Üldharidusprogrammi, Keeleprogrammi ja Eesti Elukestva õppe strateegia digipööre programmi kaudu."/>
  </r>
  <r>
    <x v="0"/>
    <m/>
    <s v="Lõimumiskava arendamis- ja administreerimiskulud"/>
    <m/>
    <m/>
    <m/>
    <x v="0"/>
    <m/>
    <m/>
    <m/>
    <m/>
    <n v="615000"/>
    <n v="28513.649999999998"/>
    <n v="161577.35"/>
    <n v="0"/>
    <n v="0"/>
    <n v="805091"/>
    <n v="690000"/>
    <n v="28201.95"/>
    <n v="159811.04999999999"/>
    <n v="0"/>
    <n v="0"/>
    <n v="878013"/>
    <n v="600000"/>
    <n v="24850.95"/>
    <n v="140822.04999999999"/>
    <n v="0"/>
    <n v="0"/>
    <n v="765673"/>
    <n v="600000"/>
    <n v="24847.35"/>
    <n v="140801.65"/>
    <n v="0"/>
    <n v="0"/>
    <n v="765649"/>
    <n v="685000"/>
    <n v="24732.45"/>
    <n v="140150.54999999999"/>
    <n v="0"/>
    <n v="0"/>
    <n v="849883"/>
    <n v="4064309"/>
    <m/>
  </r>
  <r>
    <x v="7"/>
    <s v="7.1."/>
    <s v="Lõimumisvaldkonna uuringute ja arendusprojektide läbiviimine"/>
    <s v="Keskmiselt 3 uuringut ja arendusprojekti aastas läbi viidud "/>
    <n v="20"/>
    <n v="5"/>
    <x v="1"/>
    <m/>
    <m/>
    <m/>
    <s v="KuM"/>
    <n v="25000"/>
    <m/>
    <m/>
    <m/>
    <m/>
    <n v="25000"/>
    <n v="100000"/>
    <m/>
    <m/>
    <m/>
    <m/>
    <n v="100000"/>
    <n v="10000"/>
    <m/>
    <m/>
    <m/>
    <m/>
    <n v="10000"/>
    <n v="10000"/>
    <m/>
    <m/>
    <m/>
    <m/>
    <n v="10000"/>
    <n v="95000"/>
    <m/>
    <m/>
    <m/>
    <m/>
    <n v="95000"/>
    <n v="240000"/>
    <m/>
  </r>
  <r>
    <x v="7"/>
    <s v="7.2."/>
    <s v="SA MISA tegevuskulu"/>
    <s v="Tegevustoetus eraldatud"/>
    <n v="20"/>
    <n v="4"/>
    <x v="1"/>
    <m/>
    <m/>
    <m/>
    <s v="MISA"/>
    <n v="590000"/>
    <m/>
    <m/>
    <m/>
    <m/>
    <n v="590000"/>
    <n v="590000"/>
    <m/>
    <m/>
    <m/>
    <m/>
    <n v="590000"/>
    <n v="590000"/>
    <m/>
    <m/>
    <m/>
    <m/>
    <n v="590000"/>
    <n v="590000"/>
    <m/>
    <m/>
    <m/>
    <m/>
    <n v="590000"/>
    <n v="590000"/>
    <m/>
    <m/>
    <m/>
    <m/>
    <n v="590000"/>
    <n v="2950000"/>
    <s v="Lisaks toetatakse MISA tegevuskulu HTM &quot;Üldharidusprogrammi&quot; kaudu EUR 50 500 aastas, kokku EUR 252 500 perioodil 2016-2020"/>
  </r>
  <r>
    <x v="7"/>
    <s v="7.3."/>
    <s v="ESF lõimumismeetme administreerimiskulud"/>
    <s v="ESF progammi tegevused ellu viidud"/>
    <s v="31/40"/>
    <n v="4"/>
    <x v="1"/>
    <m/>
    <m/>
    <s v="INNOVE"/>
    <s v="MISA"/>
    <m/>
    <n v="28513.649999999998"/>
    <n v="161577.35"/>
    <m/>
    <m/>
    <n v="190091"/>
    <m/>
    <n v="28201.95"/>
    <n v="159811.04999999999"/>
    <m/>
    <m/>
    <n v="188013"/>
    <m/>
    <n v="24850.95"/>
    <n v="140822.04999999999"/>
    <m/>
    <m/>
    <n v="165673"/>
    <m/>
    <n v="24847.35"/>
    <n v="140801.65"/>
    <m/>
    <m/>
    <n v="165649"/>
    <m/>
    <n v="24732.45"/>
    <n v="140150.54999999999"/>
    <m/>
    <m/>
    <n v="164883"/>
    <n v="874309"/>
    <m/>
  </r>
</pivotCacheRecords>
</file>

<file path=xl/pivotCache/pivotCacheRecords3.xml><?xml version="1.0" encoding="utf-8"?>
<pivotCacheRecords xmlns="http://schemas.openxmlformats.org/spreadsheetml/2006/main" xmlns:r="http://schemas.openxmlformats.org/officeDocument/2006/relationships" count="104">
  <r>
    <m/>
    <m/>
    <m/>
    <m/>
    <m/>
    <m/>
    <x v="0"/>
    <m/>
    <m/>
    <m/>
    <m/>
    <m/>
    <m/>
    <m/>
    <m/>
    <m/>
    <m/>
    <m/>
    <m/>
    <m/>
    <m/>
    <m/>
    <m/>
    <m/>
    <m/>
    <m/>
    <m/>
    <m/>
    <m/>
    <m/>
    <m/>
    <m/>
    <m/>
    <m/>
    <m/>
    <m/>
    <m/>
    <m/>
    <m/>
    <m/>
    <m/>
    <m/>
    <m/>
  </r>
  <r>
    <m/>
    <s v="Alaeesmärk 1"/>
    <s v="Lõimumist toetavad hoiakud ja väärtused on Eesti ühiskonnas kinnistunud "/>
    <m/>
    <m/>
    <m/>
    <x v="0"/>
    <m/>
    <m/>
    <m/>
    <m/>
    <n v="7210200"/>
    <n v="51493.8"/>
    <n v="291798.2"/>
    <n v="41250"/>
    <n v="123750"/>
    <n v="7718492"/>
    <n v="6973061"/>
    <n v="9750"/>
    <n v="55250"/>
    <n v="36250"/>
    <n v="108750"/>
    <n v="7183061"/>
    <n v="6973061"/>
    <n v="7650"/>
    <n v="43350"/>
    <n v="36250"/>
    <n v="108750"/>
    <n v="7169061"/>
    <n v="6973061"/>
    <n v="5400"/>
    <n v="30600"/>
    <n v="36250"/>
    <n v="108750"/>
    <n v="7154061"/>
    <n v="6973061"/>
    <n v="3549.75"/>
    <n v="20115.25"/>
    <n v="26750.5"/>
    <n v="80251.5"/>
    <n v="7103728"/>
    <n v="36328403"/>
    <m/>
  </r>
  <r>
    <m/>
    <s v="Meede 1.1."/>
    <s v="Ühise inforuumi ja kultuurilisest mitmekesisusest teadlikkuse toetamine"/>
    <s v="Eesti ühiskonnas on teadvustatud ning hinnatud lõimumist toetavaid demokraatlikke ja avatud väärtuseid ning nendel baseeruvat jagatud riigiidentiteeti"/>
    <m/>
    <m/>
    <x v="0"/>
    <m/>
    <m/>
    <m/>
    <m/>
    <n v="6541902"/>
    <n v="40545"/>
    <n v="229755"/>
    <n v="25000"/>
    <n v="75000"/>
    <n v="6912202"/>
    <n v="6241984"/>
    <n v="2250"/>
    <n v="12750"/>
    <n v="25000"/>
    <n v="75000"/>
    <n v="6356984"/>
    <n v="6241984"/>
    <n v="0"/>
    <n v="0"/>
    <n v="25000"/>
    <n v="75000"/>
    <n v="6341984"/>
    <n v="6241984"/>
    <n v="0"/>
    <n v="0"/>
    <n v="25000"/>
    <n v="75000"/>
    <n v="6341984"/>
    <n v="6241984"/>
    <n v="0"/>
    <n v="0"/>
    <n v="17500"/>
    <n v="52500"/>
    <n v="6311984"/>
    <n v="32265138"/>
    <m/>
  </r>
  <r>
    <m/>
    <m/>
    <m/>
    <s v="Kommunikatsioonitegevustesse hõlmatud inimeste arv"/>
    <s v="x"/>
    <s v="x"/>
    <x v="0"/>
    <s v="2014: 0 in"/>
    <m/>
    <m/>
    <m/>
    <m/>
    <m/>
    <m/>
    <m/>
    <m/>
    <s v="49 000 in"/>
    <m/>
    <m/>
    <m/>
    <m/>
    <m/>
    <s v="– "/>
    <m/>
    <m/>
    <m/>
    <m/>
    <m/>
    <s v="95 000 in"/>
    <m/>
    <m/>
    <m/>
    <m/>
    <m/>
    <s v="– "/>
    <m/>
    <m/>
    <m/>
    <m/>
    <m/>
    <s v="150 000 in"/>
    <m/>
    <m/>
  </r>
  <r>
    <m/>
    <m/>
    <m/>
    <s v="Positiivse kultuurihoiakuga inimeste osakaal eestlaste ja teiste rahvuste seas"/>
    <s v="x"/>
    <s v="x"/>
    <x v="0"/>
    <s v="2015: eestlased - 61%; teised rahvused - 82%"/>
    <m/>
    <m/>
    <m/>
    <m/>
    <m/>
    <m/>
    <m/>
    <m/>
    <s v="– "/>
    <m/>
    <m/>
    <m/>
    <m/>
    <m/>
    <s v="eestlased - 62%; teised rahvused - 83%"/>
    <m/>
    <m/>
    <m/>
    <m/>
    <m/>
    <s v="– "/>
    <m/>
    <m/>
    <m/>
    <m/>
    <m/>
    <s v="– "/>
    <m/>
    <m/>
    <m/>
    <m/>
    <m/>
    <s v="eestlased - 63%; teised rahvused - 84%"/>
    <m/>
    <m/>
  </r>
  <r>
    <m/>
    <m/>
    <m/>
    <s v="ERR-i tele- ja raadioprogrammide jälgitavus muu emakeelega inimeste hulgas. Teisest rahvusest inimeste osakaal, kes peavad ERR-i tele- ja raadioprogramme oluliseks infoallikaks._x000a_"/>
    <s v="x"/>
    <s v="x"/>
    <x v="0"/>
    <s v="8,8% (tele-kanalid); 43,7% (raadio-kanalid); 76% (peab oluliseks)_x000a_"/>
    <m/>
    <m/>
    <m/>
    <m/>
    <m/>
    <m/>
    <m/>
    <m/>
    <s v="– "/>
    <m/>
    <m/>
    <m/>
    <m/>
    <m/>
    <s v="9% (tele-kanalid); 44% (raadio-kanalid); 79% (peab oluliseks)"/>
    <m/>
    <m/>
    <m/>
    <m/>
    <m/>
    <s v="– "/>
    <m/>
    <m/>
    <m/>
    <m/>
    <m/>
    <s v="– "/>
    <m/>
    <m/>
    <m/>
    <m/>
    <m/>
    <s v="11% (telekanalid); 47 % (raadiokanalid); 82% (peab oluliseks)"/>
    <m/>
    <m/>
  </r>
  <r>
    <n v="1"/>
    <s v="1.1.1."/>
    <s v="Kommunikatsioonitegevused ühiskonna väärtusorientatsioonide avatumaks muutmiseks ja ühise kvaliteetset infot sisaldava teabevälja tugevdamiseks (mh, meediaprojektidele, mitmekultuurilisusest teadlikkuse tõstmiseks, sh  rahvusvahelise kaitse saajatele suunatud projektid, ja info mitmekeelseks esitamiseks, ajakirjanike koolitused)."/>
    <s v="Iga-aastaselt on kommunikatsioonitegevustesse hõlmatud 18 750 inimest "/>
    <n v="20"/>
    <s v="4/5"/>
    <x v="1"/>
    <m/>
    <s v="2016-2020"/>
    <m/>
    <s v="MISA"/>
    <n v="45000"/>
    <m/>
    <m/>
    <m/>
    <m/>
    <n v="45000"/>
    <n v="45000"/>
    <m/>
    <m/>
    <m/>
    <m/>
    <n v="45000"/>
    <n v="45000"/>
    <m/>
    <m/>
    <m/>
    <m/>
    <n v="45000"/>
    <n v="45000"/>
    <m/>
    <m/>
    <m/>
    <m/>
    <n v="45000"/>
    <n v="45000"/>
    <m/>
    <m/>
    <m/>
    <m/>
    <n v="45000"/>
    <n v="225000"/>
    <s v="Tegevus kajastub Vägivalla ennetamise strateegia rakendusplaanis perioodil 2016-2019"/>
  </r>
  <r>
    <n v="1"/>
    <s v="1.1.2."/>
    <s v="Lõimumisvaldkonna sisuteemade avamine trüki-, tele-, raadio- ja interaktiivses meedias."/>
    <s v="1 audiovisuaalmeedia- ning sotsiaalreklaamikampaania ellu viidud"/>
    <s v="31/40"/>
    <n v="4"/>
    <x v="1"/>
    <m/>
    <s v="2016-2020"/>
    <s v="INNOVE"/>
    <s v="MISA"/>
    <m/>
    <n v="40545"/>
    <n v="229755"/>
    <m/>
    <m/>
    <n v="270300"/>
    <m/>
    <n v="2250"/>
    <n v="12750"/>
    <m/>
    <m/>
    <n v="15000"/>
    <m/>
    <m/>
    <m/>
    <m/>
    <m/>
    <n v="0"/>
    <m/>
    <m/>
    <m/>
    <m/>
    <m/>
    <n v="0"/>
    <m/>
    <m/>
    <m/>
    <m/>
    <m/>
    <n v="0"/>
    <n v="285300"/>
    <m/>
  </r>
  <r>
    <n v="1"/>
    <s v="1.1.3."/>
    <s v="Ühiseid ühiskondlikke väärtusi, eri kultuurirühmade olemust, sh pagulastemaatikat ning praktilisi tegevusi kajastavate audio-visuaalsete, trükimeedia ja internetimeedia projektide toetamine"/>
    <s v="läbiviidud teavitusprojektide arv 5;  projektide tarbijate arv sihtrühmas 20 000 aastas, kogu periood 100 000 in"/>
    <s v="31/40"/>
    <n v="4"/>
    <x v="2"/>
    <m/>
    <s v="2016-2020"/>
    <m/>
    <m/>
    <m/>
    <m/>
    <m/>
    <n v="25000"/>
    <n v="75000"/>
    <n v="100000"/>
    <m/>
    <m/>
    <m/>
    <n v="25000"/>
    <n v="75000"/>
    <n v="100000"/>
    <m/>
    <m/>
    <m/>
    <n v="25000"/>
    <n v="75000"/>
    <n v="100000"/>
    <m/>
    <m/>
    <m/>
    <n v="25000"/>
    <n v="75000"/>
    <n v="100000"/>
    <m/>
    <m/>
    <m/>
    <n v="17500"/>
    <n v="52500"/>
    <n v="70000"/>
    <n v="470000"/>
    <m/>
  </r>
  <r>
    <n v="1"/>
    <s v="1.1.4."/>
    <s v="ERR-i venekeelse raadioprogrammi tootmine ja edastamine"/>
    <s v="ERR-i poolt edastatakse venekeelseid raadiosaateid"/>
    <n v="20"/>
    <n v="4"/>
    <x v="1"/>
    <m/>
    <m/>
    <m/>
    <s v="ERR"/>
    <n v="1178694"/>
    <m/>
    <m/>
    <m/>
    <m/>
    <n v="1178694"/>
    <n v="1178700"/>
    <m/>
    <m/>
    <m/>
    <m/>
    <n v="1178700"/>
    <n v="1178700"/>
    <m/>
    <m/>
    <m/>
    <m/>
    <n v="1178700"/>
    <n v="1178700"/>
    <m/>
    <m/>
    <m/>
    <m/>
    <n v="1178700"/>
    <n v="1178700"/>
    <m/>
    <m/>
    <m/>
    <m/>
    <n v="1178700"/>
    <n v="5893494"/>
    <s v="Tegevuse rahastamine toimub ERR arengukava 2016-2019 ja 2017-2020 kaudu"/>
  </r>
  <r>
    <n v="1"/>
    <s v="1.1.5."/>
    <s v="ERR-i  eesti-, vene- ja ingliskeelse teabe edastamine veebis"/>
    <s v="Tagatud on ERR-i eesti-, vene- ning inglisekeelse veebiportaali töö"/>
    <n v="20"/>
    <n v="4"/>
    <x v="1"/>
    <m/>
    <m/>
    <m/>
    <s v="ERR"/>
    <n v="931035"/>
    <m/>
    <m/>
    <m/>
    <m/>
    <n v="931035"/>
    <n v="931100"/>
    <m/>
    <m/>
    <m/>
    <m/>
    <n v="931100"/>
    <n v="931100"/>
    <m/>
    <m/>
    <m/>
    <m/>
    <n v="931100"/>
    <n v="931100"/>
    <m/>
    <m/>
    <m/>
    <m/>
    <n v="931100"/>
    <n v="931100"/>
    <m/>
    <m/>
    <m/>
    <m/>
    <n v="931100"/>
    <n v="4655435"/>
    <s v="Tegevuse rahastamine toimub ERR arengukava 2016-2019 ja 2017-2020 kaudu"/>
  </r>
  <r>
    <n v="1"/>
    <s v="1.1.6."/>
    <s v="ERRi venekeelse telepropgrammi ettevalmistamine, tootmine ja eetrisseandmine"/>
    <s v="Venekeelse telekanali ettevalmistavad arendustegevused on läbi viidud (konkursid, pilootsaated) ning telekanal iga-aastaselt eetris"/>
    <n v="20"/>
    <n v="4"/>
    <x v="1"/>
    <m/>
    <m/>
    <m/>
    <s v="ERR"/>
    <n v="4387173"/>
    <m/>
    <m/>
    <m/>
    <m/>
    <n v="4387173"/>
    <n v="4087184"/>
    <m/>
    <m/>
    <m/>
    <m/>
    <n v="4087184"/>
    <n v="4087184"/>
    <m/>
    <m/>
    <m/>
    <m/>
    <n v="4087184"/>
    <n v="4087184"/>
    <m/>
    <m/>
    <m/>
    <m/>
    <n v="4087184"/>
    <n v="4087184"/>
    <m/>
    <m/>
    <m/>
    <m/>
    <n v="4087184"/>
    <n v="20735909"/>
    <s v="Tegevuse rahastamine toimub ERR arengukava 2016-2019 ja 2017-2020 kaudu; täiendavad eelarvelised vahendid lisatakse RES 2016-2019 ja 2017-2020 väljatöötamise käigus"/>
  </r>
  <r>
    <m/>
    <s v="Meede 1.2."/>
    <s v="Igapäevaste kontaktide, suhtluse ja kaasamise toetamine ühiskonnas"/>
    <s v="Toetatud on eelkõige eri piirkondades elavate ja eri keelelis-kultuurilise taustaga inimeste omavahelisi praktilisi kontakte, kaasatud on eri keelelis-kultuurilise taustaga inimesi ning nende osalusel põhinevaid organisatsioone aktiivsesse ühiskonnaellu"/>
    <m/>
    <m/>
    <x v="0"/>
    <m/>
    <m/>
    <m/>
    <m/>
    <n v="88577"/>
    <n v="10948.8"/>
    <n v="62043.199999999997"/>
    <n v="16250"/>
    <n v="48750"/>
    <n v="226569"/>
    <n v="88577"/>
    <n v="7500"/>
    <n v="42500"/>
    <n v="11250"/>
    <n v="33750"/>
    <n v="183577"/>
    <n v="88577"/>
    <n v="7650"/>
    <n v="43350"/>
    <n v="11250"/>
    <n v="33750"/>
    <n v="184577"/>
    <n v="88577"/>
    <n v="5400"/>
    <n v="30600"/>
    <n v="11250"/>
    <n v="33750"/>
    <n v="169577"/>
    <n v="88577"/>
    <n v="3549.75"/>
    <n v="20115.25"/>
    <n v="9250.5"/>
    <n v="27751.5"/>
    <n v="149244"/>
    <n v="913544"/>
    <m/>
  </r>
  <r>
    <m/>
    <m/>
    <m/>
    <s v="Projektidesse kaasatud inimeste arv"/>
    <s v="x"/>
    <s v="x"/>
    <x v="0"/>
    <s v="2014: 0 in"/>
    <m/>
    <m/>
    <m/>
    <m/>
    <m/>
    <m/>
    <m/>
    <m/>
    <s v="1 100 in"/>
    <m/>
    <m/>
    <m/>
    <m/>
    <m/>
    <s v="– "/>
    <m/>
    <m/>
    <m/>
    <m/>
    <m/>
    <s v="4 000 in"/>
    <m/>
    <m/>
    <m/>
    <m/>
    <m/>
    <s v="– "/>
    <m/>
    <m/>
    <m/>
    <m/>
    <m/>
    <s v="7 000 in"/>
    <m/>
    <m/>
  </r>
  <r>
    <m/>
    <m/>
    <m/>
    <s v="Püsikontaktide tiheduse kasv tegevustes osalenud eestlaste ja teistest rahvustest isikute vahel võrreldes tegevusteeelse perioodiga"/>
    <s v="x"/>
    <s v="x"/>
    <x v="0"/>
    <s v="2015: eestlased - 3; teised rahvused - 3,36"/>
    <m/>
    <m/>
    <m/>
    <m/>
    <m/>
    <m/>
    <m/>
    <m/>
    <s v="– "/>
    <m/>
    <m/>
    <m/>
    <m/>
    <m/>
    <s v="eestlased -3,2; teised rahvused - 3,4 (keskmine rahvustevaheliste suhtlemisvõrgustike arv)"/>
    <m/>
    <m/>
    <m/>
    <m/>
    <m/>
    <s v="– "/>
    <m/>
    <m/>
    <m/>
    <m/>
    <m/>
    <s v="– "/>
    <m/>
    <m/>
    <m/>
    <m/>
    <m/>
    <s v="Eestlased - 3,5; teised rahvused - 4  (keskmine rahvustevaheliste suhtlemisvõrgustike arv)"/>
    <m/>
    <m/>
  </r>
  <r>
    <n v="1"/>
    <s v="1.2.1."/>
    <s v="Kolmandate riikide kodanike kaasatust ja ühiskonna protsessides osalemist toetavad tegevused (mh kodanikeühiskonnas osalemise võimalustest teabe vahendamine, kodanikeühiskonna organisatsioonide ja nende omavahelise koostöö toetamine)"/>
    <s v="Iga aastaselt on toetatud 2 koostööprojekti"/>
    <s v="31/40"/>
    <n v="4"/>
    <x v="2"/>
    <m/>
    <s v="2016-2020"/>
    <m/>
    <m/>
    <m/>
    <m/>
    <m/>
    <n v="11250"/>
    <n v="33750"/>
    <n v="45000"/>
    <m/>
    <m/>
    <m/>
    <n v="11250"/>
    <n v="33750"/>
    <n v="45000"/>
    <m/>
    <m/>
    <m/>
    <n v="11250"/>
    <n v="33750"/>
    <n v="45000"/>
    <m/>
    <m/>
    <m/>
    <n v="11250"/>
    <n v="33750"/>
    <n v="45000"/>
    <m/>
    <m/>
    <m/>
    <n v="9250.5"/>
    <n v="27751.5"/>
    <n v="37002"/>
    <n v="217002"/>
    <m/>
  </r>
  <r>
    <n v="1"/>
    <s v="1.2.2."/>
    <s v="Kohalike omavalitsuste võimekuse tõstmine kolmandate riikide kodanikele info vahendamisel ja avalike teenuste pakkumisel, sh täiendkoolitused, infopäevad jne"/>
    <s v="2016. aastal toetatud 1 projekt"/>
    <s v="31/40"/>
    <n v="4"/>
    <x v="2"/>
    <m/>
    <n v="2016"/>
    <m/>
    <m/>
    <m/>
    <m/>
    <m/>
    <n v="5000"/>
    <n v="15000"/>
    <n v="20000"/>
    <m/>
    <m/>
    <m/>
    <m/>
    <m/>
    <n v="0"/>
    <m/>
    <m/>
    <m/>
    <m/>
    <m/>
    <n v="0"/>
    <m/>
    <m/>
    <m/>
    <m/>
    <m/>
    <n v="0"/>
    <m/>
    <m/>
    <m/>
    <m/>
    <m/>
    <n v="0"/>
    <n v="20000"/>
    <m/>
  </r>
  <r>
    <n v="1"/>
    <s v="1.2.3."/>
    <s v="Ühise teabevälja edendamine läbi kultuuri, sh kultuuri- ja spordialaste kostöötegevuste eri regioonidest või keelelis-kultuurilise taustaga inimeste osalusel, sh pagulastele."/>
    <s v="Iga aastaselt on toetatud 4 kultuuri- ja spordialast projekti"/>
    <n v="20"/>
    <n v="4"/>
    <x v="1"/>
    <m/>
    <s v="2016-2020"/>
    <s v="MISA"/>
    <m/>
    <n v="79577"/>
    <m/>
    <m/>
    <m/>
    <m/>
    <n v="79577"/>
    <n v="79577"/>
    <m/>
    <m/>
    <m/>
    <m/>
    <n v="79577"/>
    <n v="79577"/>
    <m/>
    <m/>
    <m/>
    <m/>
    <n v="79577"/>
    <n v="79577"/>
    <m/>
    <m/>
    <m/>
    <m/>
    <n v="79577"/>
    <n v="79577"/>
    <m/>
    <m/>
    <m/>
    <m/>
    <n v="79577"/>
    <n v="397885"/>
    <m/>
  </r>
  <r>
    <n v="1"/>
    <s v="1.2.4."/>
    <s v="Ühiskonna protsessides osalemist toetavad tegevused (sh kodanikeühiskonna organisatsioonide ja nende omavahelise koostöö toetamine)"/>
    <s v="5 500 inimest on osalenud koostöötegevustes"/>
    <s v="31/40"/>
    <n v="4"/>
    <x v="1"/>
    <m/>
    <s v="2016-2020"/>
    <s v="INNOVE"/>
    <s v="MISA"/>
    <m/>
    <n v="10948.8"/>
    <n v="62043.199999999997"/>
    <m/>
    <m/>
    <n v="72992"/>
    <m/>
    <n v="7500"/>
    <n v="42500"/>
    <m/>
    <m/>
    <n v="50000"/>
    <m/>
    <n v="7650"/>
    <n v="43350"/>
    <m/>
    <m/>
    <n v="51000"/>
    <m/>
    <n v="5400"/>
    <n v="30600"/>
    <m/>
    <m/>
    <n v="36000"/>
    <m/>
    <n v="3549.75"/>
    <n v="20115.25"/>
    <m/>
    <m/>
    <n v="23665"/>
    <n v="233657"/>
    <m/>
  </r>
  <r>
    <n v="1"/>
    <s v="1.2.5."/>
    <s v="Lõimumisvaldkonna arenduspreemiad"/>
    <s v="Iga aastaselt on välja antud 4 arendus- ja meediapreemiat."/>
    <n v="20"/>
    <n v="4"/>
    <x v="1"/>
    <m/>
    <s v="2016-2020"/>
    <s v="MISA"/>
    <m/>
    <n v="9000"/>
    <m/>
    <m/>
    <m/>
    <m/>
    <n v="9000"/>
    <n v="9000"/>
    <m/>
    <m/>
    <m/>
    <m/>
    <n v="9000"/>
    <n v="9000"/>
    <m/>
    <m/>
    <m/>
    <m/>
    <n v="9000"/>
    <n v="9000"/>
    <m/>
    <m/>
    <m/>
    <m/>
    <n v="9000"/>
    <n v="9000"/>
    <m/>
    <m/>
    <m/>
    <m/>
    <n v="9000"/>
    <n v="45000"/>
    <m/>
  </r>
  <r>
    <m/>
    <s v="Meede 1.3."/>
    <s v="Etniliste vähemuste emakeele ja kultuuri toetamine"/>
    <s v="Tagatud on Eesti ühiskonna mitmekultuurilisus ja eri rahvuskultuure esindavate organisatsioonide jätkusuutlik toimimine ja süsteemne arendamine"/>
    <m/>
    <m/>
    <x v="0"/>
    <m/>
    <m/>
    <m/>
    <m/>
    <n v="579721"/>
    <n v="0"/>
    <n v="0"/>
    <n v="0"/>
    <n v="0"/>
    <n v="579721"/>
    <n v="642500"/>
    <n v="0"/>
    <n v="0"/>
    <n v="0"/>
    <n v="0"/>
    <n v="642500"/>
    <n v="642500"/>
    <n v="0"/>
    <n v="0"/>
    <n v="0"/>
    <n v="0"/>
    <n v="642500"/>
    <n v="642500"/>
    <n v="0"/>
    <n v="0"/>
    <n v="0"/>
    <n v="0"/>
    <n v="642500"/>
    <n v="642500"/>
    <n v="0"/>
    <n v="0"/>
    <n v="0"/>
    <n v="0"/>
    <n v="642500"/>
    <n v="3149721"/>
    <m/>
  </r>
  <r>
    <m/>
    <m/>
    <m/>
    <s v="Toetatud katusorganisatsioonide ja nende allliikmetest rahvusvähemuste kultuuriseltside arv"/>
    <s v="x"/>
    <s v="x"/>
    <x v="0"/>
    <s v="2015: 16 katus-organisa-tsiooni ja 231  rahvusvähemuste kultuuri-seltsi "/>
    <m/>
    <m/>
    <m/>
    <m/>
    <m/>
    <m/>
    <m/>
    <m/>
    <s v="16 katus-organisa-tsiooni ja 231  rahvusvähemuste kultuuri-seltsi "/>
    <m/>
    <m/>
    <m/>
    <m/>
    <m/>
    <s v="16 katus-organisa-tsiooni ja 231  rahvusvähemuste kultuuri-seltsi "/>
    <m/>
    <m/>
    <m/>
    <m/>
    <m/>
    <s v="17 katus-organisa-tsiooni ja 240  rahvus-vähemuste kultuuri-seltsi "/>
    <m/>
    <m/>
    <m/>
    <m/>
    <m/>
    <s v="17 katus-organisa-tsiooni ja 240  rahvus-vähemuste kultuuri-seltsi "/>
    <m/>
    <m/>
    <m/>
    <m/>
    <m/>
    <s v="17 katus-organisa-tsiooni ja 240  rahvus-vähemuste kultuuri-seltsi "/>
    <m/>
    <m/>
  </r>
  <r>
    <m/>
    <m/>
    <m/>
    <s v="Tegevustes osalenud teisest rahvusest isikute teadlikkus oma etnilisest identiteedist (emakeeleoskus, rahvuskultuuri tundmine, valmisolek neid rohkem tundma õppida)"/>
    <s v="x"/>
    <s v="x"/>
    <x v="0"/>
    <s v="määratletakse 2016. a"/>
    <m/>
    <m/>
    <m/>
    <m/>
    <m/>
    <m/>
    <m/>
    <m/>
    <s v="määratletakse 2016. a"/>
    <m/>
    <m/>
    <m/>
    <m/>
    <m/>
    <s v="määratletakse 2016. a"/>
    <m/>
    <m/>
    <m/>
    <m/>
    <m/>
    <s v="määratletakse 2016. a"/>
    <m/>
    <m/>
    <m/>
    <m/>
    <m/>
    <s v="määratletakse 2016. a"/>
    <m/>
    <m/>
    <m/>
    <m/>
    <m/>
    <s v="määratletakse 2016. a"/>
    <m/>
    <m/>
  </r>
  <r>
    <m/>
    <m/>
    <m/>
    <s v="Toetatud pühapäevakoolide arv"/>
    <s v="x"/>
    <s v="x"/>
    <x v="0"/>
    <s v="2013: 26 kooli"/>
    <m/>
    <m/>
    <m/>
    <m/>
    <m/>
    <m/>
    <m/>
    <m/>
    <s v="26 kooli"/>
    <m/>
    <m/>
    <m/>
    <m/>
    <m/>
    <s v="26 kooli"/>
    <m/>
    <m/>
    <m/>
    <m/>
    <m/>
    <s v="26 kooli"/>
    <m/>
    <m/>
    <m/>
    <m/>
    <m/>
    <s v="26 kooli"/>
    <m/>
    <m/>
    <m/>
    <m/>
    <m/>
    <s v="26 kooli"/>
    <m/>
    <m/>
  </r>
  <r>
    <n v="1"/>
    <s v="1.3.1."/>
    <s v="Rahvusvähemuste kultuuriühingute toetusprogramm"/>
    <s v="Iga-aastaselt on toetatud on 60 organisatsiooni"/>
    <n v="20"/>
    <n v="4"/>
    <x v="1"/>
    <m/>
    <s v="2016-2020"/>
    <s v="MISA"/>
    <m/>
    <n v="90500"/>
    <m/>
    <m/>
    <m/>
    <m/>
    <n v="90500"/>
    <n v="90500"/>
    <m/>
    <m/>
    <m/>
    <m/>
    <n v="90500"/>
    <n v="90500"/>
    <m/>
    <m/>
    <m/>
    <m/>
    <n v="90500"/>
    <n v="90500"/>
    <m/>
    <m/>
    <m/>
    <m/>
    <n v="90500"/>
    <n v="90500"/>
    <m/>
    <m/>
    <m/>
    <m/>
    <n v="90500"/>
    <n v="452500"/>
    <m/>
  </r>
  <r>
    <n v="1"/>
    <s v="1.3.2."/>
    <s v="Rahvuskultuuriseltside tegevuse baasrahastamine "/>
    <s v="Iga-aastaselt on toetatud orienteeruvalt 230 organisatsiooni"/>
    <n v="20"/>
    <n v="4"/>
    <x v="1"/>
    <m/>
    <s v="2016-2020"/>
    <s v="MISA"/>
    <m/>
    <n v="321330"/>
    <m/>
    <m/>
    <m/>
    <m/>
    <n v="321330"/>
    <n v="370000"/>
    <m/>
    <m/>
    <m/>
    <m/>
    <n v="370000"/>
    <n v="370000"/>
    <m/>
    <m/>
    <m/>
    <m/>
    <n v="370000"/>
    <n v="370000"/>
    <m/>
    <m/>
    <m/>
    <m/>
    <n v="370000"/>
    <n v="370000"/>
    <m/>
    <m/>
    <m/>
    <m/>
    <n v="370000"/>
    <n v="1801330"/>
    <m/>
  </r>
  <r>
    <n v="1"/>
    <s v="1.3.3."/>
    <s v="Eesti mitmekultuurilisust tähistatavate ürituste läbiviimine"/>
    <s v="Iga-aastaselt on läbi viidud 3 üritust"/>
    <n v="20"/>
    <n v="4"/>
    <x v="1"/>
    <m/>
    <s v="2016-2020"/>
    <s v="MISA"/>
    <m/>
    <n v="8391"/>
    <m/>
    <m/>
    <m/>
    <m/>
    <n v="8391"/>
    <n v="22500"/>
    <m/>
    <m/>
    <m/>
    <m/>
    <n v="22500"/>
    <n v="22500"/>
    <m/>
    <m/>
    <m/>
    <m/>
    <n v="22500"/>
    <n v="22500"/>
    <m/>
    <m/>
    <m/>
    <m/>
    <n v="22500"/>
    <n v="22500"/>
    <m/>
    <m/>
    <m/>
    <m/>
    <n v="22500"/>
    <n v="98391"/>
    <m/>
  </r>
  <r>
    <n v="1"/>
    <s v="1.3.4."/>
    <s v="Pühapäevakoolide baasrahastamine"/>
    <s v="Iga-aastaselt on toetust saanud 26 pühapäeva kooli."/>
    <n v="20"/>
    <n v="4"/>
    <x v="3"/>
    <m/>
    <m/>
    <s v="MISA"/>
    <m/>
    <n v="136000"/>
    <m/>
    <m/>
    <m/>
    <m/>
    <n v="136000"/>
    <n v="136000"/>
    <m/>
    <m/>
    <m/>
    <m/>
    <n v="136000"/>
    <n v="136000"/>
    <m/>
    <m/>
    <m/>
    <m/>
    <n v="136000"/>
    <n v="136000"/>
    <m/>
    <m/>
    <m/>
    <m/>
    <n v="136000"/>
    <n v="136000"/>
    <m/>
    <m/>
    <m/>
    <m/>
    <n v="136000"/>
    <n v="680000"/>
    <m/>
  </r>
  <r>
    <n v="1"/>
    <s v="1.3.5."/>
    <s v="Pühapäevakoolide koostöövõrgustiku toimimise  toetamine"/>
    <s v="Toimib pühapäevakoolide õpetajate liit, mis koordineerib pühapäevakoolide võrgustikku"/>
    <n v="20"/>
    <n v="4"/>
    <x v="3"/>
    <m/>
    <m/>
    <s v="Püha-päeva-koolide Õpetajate Ühendus"/>
    <m/>
    <m/>
    <m/>
    <m/>
    <m/>
    <m/>
    <n v="0"/>
    <m/>
    <m/>
    <m/>
    <m/>
    <m/>
    <n v="0"/>
    <m/>
    <m/>
    <m/>
    <m/>
    <m/>
    <n v="0"/>
    <m/>
    <m/>
    <m/>
    <m/>
    <m/>
    <n v="0"/>
    <m/>
    <m/>
    <m/>
    <m/>
    <m/>
    <n v="0"/>
    <n v="0"/>
    <m/>
  </r>
  <r>
    <n v="1"/>
    <s v="1.3.6."/>
    <s v="Rahvuskultuuriseltside pühapäevakoolide õpetajate täienduskoolitus"/>
    <s v="Iga-aastaselt on pühapäevakoolide õpetajate täiendkoolitusel osalenud 75 õpetajat."/>
    <n v="20"/>
    <n v="4"/>
    <x v="3"/>
    <m/>
    <m/>
    <s v="MISA"/>
    <m/>
    <n v="23500"/>
    <m/>
    <m/>
    <m/>
    <m/>
    <n v="23500"/>
    <n v="23500"/>
    <m/>
    <m/>
    <m/>
    <m/>
    <n v="23500"/>
    <n v="23500"/>
    <m/>
    <m/>
    <m/>
    <m/>
    <n v="23500"/>
    <n v="23500"/>
    <m/>
    <m/>
    <m/>
    <m/>
    <n v="23500"/>
    <n v="23500"/>
    <m/>
    <m/>
    <m/>
    <m/>
    <n v="23500"/>
    <n v="117500"/>
    <m/>
  </r>
  <r>
    <m/>
    <s v="Alaeesmärk 2"/>
    <s v="Vähelõimunud välispäritolu taustaga püsielanike osalemine ühiskonnas on kasvanud Eesti kodakondsuse omandamise ning uute ühiskondlike teadmiste kaudu"/>
    <m/>
    <m/>
    <m/>
    <x v="0"/>
    <m/>
    <m/>
    <m/>
    <m/>
    <n v="403029"/>
    <n v="241177.35"/>
    <n v="1720217.65"/>
    <n v="0"/>
    <n v="0"/>
    <n v="2364424"/>
    <n v="499029"/>
    <n v="311589.3"/>
    <n v="1765672.7"/>
    <n v="0"/>
    <n v="0"/>
    <n v="2576291"/>
    <n v="535029"/>
    <n v="198260.85"/>
    <n v="1123478.1499999999"/>
    <n v="0"/>
    <n v="0"/>
    <n v="1856768"/>
    <n v="403029"/>
    <n v="150545.70000000001"/>
    <n v="853092.29999999993"/>
    <n v="0"/>
    <n v="0"/>
    <n v="1406667"/>
    <n v="403029"/>
    <n v="137770.79999999999"/>
    <n v="780701.2"/>
    <n v="0"/>
    <n v="0"/>
    <n v="1321501"/>
    <n v="9525651"/>
    <m/>
  </r>
  <r>
    <m/>
    <s v="Meede 2.1."/>
    <s v="Võimaluste loomine vähelõimunud välispäritolutaustaga Eesti püsielanike ühiskondliku aktiivsuse suurendamiseks ja lõimumise toetamiseks"/>
    <s v="Koolitustel osalenud ning infot tarbinud püsielanikud on omandanud naturaliseerumiseks ning avalikkussfääris, kodanikuühiskonnas ja tööturul osalemiseks vajalikke teadmisi ja oskusi"/>
    <m/>
    <m/>
    <x v="0"/>
    <m/>
    <m/>
    <m/>
    <m/>
    <n v="327029"/>
    <n v="229177.35"/>
    <n v="1652217.65"/>
    <n v="0"/>
    <n v="0"/>
    <n v="2208424"/>
    <n v="393029"/>
    <n v="301089.3"/>
    <n v="1706172.7"/>
    <n v="0"/>
    <n v="0"/>
    <n v="2400291"/>
    <n v="459029"/>
    <n v="195260.85"/>
    <n v="1106478.1499999999"/>
    <n v="0"/>
    <n v="0"/>
    <n v="1760768"/>
    <n v="327029"/>
    <n v="147545.70000000001"/>
    <n v="836092.29999999993"/>
    <n v="0"/>
    <n v="0"/>
    <n v="1310667"/>
    <n v="327029"/>
    <n v="135520.79999999999"/>
    <n v="767951.2"/>
    <n v="0"/>
    <n v="0"/>
    <n v="1230501"/>
    <n v="8910651"/>
    <m/>
  </r>
  <r>
    <m/>
    <m/>
    <m/>
    <s v="Lõimumisprogrammis osalenud isikute arv"/>
    <s v="x"/>
    <s v="x"/>
    <x v="0"/>
    <s v="2014: 0 in"/>
    <m/>
    <m/>
    <m/>
    <m/>
    <m/>
    <m/>
    <m/>
    <m/>
    <s v="500 in"/>
    <m/>
    <m/>
    <m/>
    <m/>
    <m/>
    <s v="– "/>
    <m/>
    <m/>
    <m/>
    <m/>
    <m/>
    <s v="3500 in"/>
    <m/>
    <m/>
    <m/>
    <m/>
    <m/>
    <s v="– "/>
    <m/>
    <m/>
    <m/>
    <m/>
    <m/>
    <s v="5500 in "/>
    <m/>
    <m/>
  </r>
  <r>
    <m/>
    <m/>
    <m/>
    <s v="Lõimumisprogrammi läbinute osakaal, kellel on paranenud eesti keele oskus, praktiline informeeritus  ja teadmised Eesti riigi, ühiskonna ja kultuuri kohta"/>
    <s v="x"/>
    <s v="x"/>
    <x v="0"/>
    <s v="2014: 0%"/>
    <m/>
    <m/>
    <m/>
    <m/>
    <m/>
    <m/>
    <m/>
    <m/>
    <s v="määratletakse 2016. a"/>
    <m/>
    <m/>
    <m/>
    <m/>
    <m/>
    <s v="määratletakse 2016. a"/>
    <m/>
    <m/>
    <m/>
    <m/>
    <m/>
    <s v="määratletakse 2016. a"/>
    <m/>
    <m/>
    <m/>
    <m/>
    <m/>
    <s v="määratletakse 2016. a"/>
    <m/>
    <m/>
    <m/>
    <m/>
    <m/>
    <s v="määratletakse 2016. a"/>
    <m/>
    <m/>
  </r>
  <r>
    <m/>
    <m/>
    <m/>
    <s v="Nõustamissüsteemi kasutanud isikute arv"/>
    <s v="x"/>
    <s v="x"/>
    <x v="0"/>
    <s v="2014: 0 in"/>
    <m/>
    <m/>
    <m/>
    <m/>
    <m/>
    <m/>
    <m/>
    <m/>
    <s v="2000 in"/>
    <m/>
    <m/>
    <m/>
    <m/>
    <m/>
    <s v="– "/>
    <m/>
    <m/>
    <m/>
    <m/>
    <m/>
    <s v="3000 in"/>
    <m/>
    <m/>
    <m/>
    <m/>
    <m/>
    <s v="– "/>
    <m/>
    <m/>
    <m/>
    <m/>
    <m/>
    <s v="5500 in "/>
    <m/>
    <m/>
  </r>
  <r>
    <n v="2"/>
    <s v="2.1.1."/>
    <s v="Paindliku lõimumisprogrammi (1. naturaliseerumiseks ettevalmistumise koolitus; 2. mitteformaalne keeleõpe, 3. kultuurikümblus; 4. kultuurikoolitus) väljatöötamine ja pakkumine"/>
    <s v="rakendatud 3 koolitusmoodulit ja tegutsenud 150 eesti keele ja kultuuri klubi"/>
    <s v="31/40"/>
    <n v="4"/>
    <x v="1"/>
    <m/>
    <m/>
    <s v="INNOVE"/>
    <s v="MISA"/>
    <m/>
    <n v="194097"/>
    <n v="1099883"/>
    <m/>
    <m/>
    <n v="1293980"/>
    <m/>
    <n v="194696.85"/>
    <n v="1103282.1499999999"/>
    <m/>
    <m/>
    <n v="1297979"/>
    <m/>
    <n v="148050"/>
    <n v="838950"/>
    <m/>
    <m/>
    <n v="987000"/>
    <m/>
    <n v="116317.05"/>
    <n v="659129.94999999995"/>
    <m/>
    <m/>
    <n v="775447"/>
    <m/>
    <n v="106786.5"/>
    <n v="605123.5"/>
    <m/>
    <m/>
    <n v="711910"/>
    <n v="5066316"/>
    <m/>
  </r>
  <r>
    <n v="2"/>
    <s v="2.1.2."/>
    <s v="Nõustamis- ja infosüsteemi väljatöötamine ja rakendamine "/>
    <s v="1 nõustamis- ja infosüsteem on välja töötatud, 200 riigiasutuste, KOV-de ja kolmanda sektori asutuste töötajat koolitusel osalenud, sh arvestatakse pagulaste nõustamisvajadustega. "/>
    <s v="31/40"/>
    <n v="4"/>
    <x v="1"/>
    <m/>
    <m/>
    <s v="INNOVE"/>
    <s v="MISA"/>
    <m/>
    <n v="32080.35"/>
    <n v="181788.65"/>
    <m/>
    <m/>
    <n v="213869"/>
    <m/>
    <n v="31682.25"/>
    <n v="179532.75"/>
    <m/>
    <m/>
    <n v="211215"/>
    <m/>
    <n v="44210.85"/>
    <n v="250528.15"/>
    <m/>
    <m/>
    <n v="294739"/>
    <m/>
    <n v="31228.649999999998"/>
    <n v="176962.35"/>
    <m/>
    <m/>
    <n v="208191"/>
    <m/>
    <n v="28734.3"/>
    <n v="162827.69999999998"/>
    <m/>
    <m/>
    <n v="191561.99999999997"/>
    <n v="1119576"/>
    <m/>
  </r>
  <r>
    <n v="2"/>
    <s v="2.1.3."/>
    <s v="Ühiskondlikku sidusust toetavad programmid noortele"/>
    <s v="Programmis osaleb 50 noort aastas. Peale programmi lõpetamist leiavad 70% osalejatest, et neil on Eestis võimalusi oma potentsiaali realiseerimiseks"/>
    <s v="31/40"/>
    <n v="4"/>
    <x v="1"/>
    <m/>
    <m/>
    <s v="INNOVE"/>
    <s v="MISA"/>
    <m/>
    <n v="3000"/>
    <n v="17000"/>
    <m/>
    <m/>
    <n v="20000"/>
    <m/>
    <n v="3000"/>
    <n v="17000"/>
    <m/>
    <m/>
    <n v="20000"/>
    <m/>
    <n v="3000"/>
    <n v="17000"/>
    <m/>
    <m/>
    <n v="20000"/>
    <m/>
    <m/>
    <m/>
    <m/>
    <m/>
    <n v="0"/>
    <m/>
    <m/>
    <m/>
    <m/>
    <m/>
    <n v="0"/>
    <n v="60000"/>
    <m/>
  </r>
  <r>
    <n v="2"/>
    <s v="2.1.4."/>
    <s v="Keeleõpe A1 tasemel vähelõimunud püsielanikele"/>
    <s v="Keelekursusteks on pakutud 600 õppekohta."/>
    <n v="20"/>
    <m/>
    <x v="1"/>
    <m/>
    <m/>
    <m/>
    <m/>
    <n v="0"/>
    <m/>
    <m/>
    <m/>
    <m/>
    <n v="0"/>
    <n v="66000"/>
    <m/>
    <m/>
    <m/>
    <m/>
    <n v="66000"/>
    <n v="132000"/>
    <m/>
    <m/>
    <m/>
    <m/>
    <n v="132000"/>
    <n v="0"/>
    <m/>
    <m/>
    <m/>
    <m/>
    <n v="0"/>
    <n v="0"/>
    <m/>
    <m/>
    <m/>
    <m/>
    <n v="0"/>
    <n v="198000"/>
    <m/>
  </r>
  <r>
    <n v="2"/>
    <s v="2.1.5."/>
    <s v="Keeleõpe noortelaagrites- ja peredes"/>
    <s v="Iga-aastaselt on toetatud 32 noore osalemist pereõppes ja/või keelelaagris; Iga-aastaselt on toetatud 165 noore osalemist noortelaagrite eesti keele programmilistes tegevustes."/>
    <n v="20"/>
    <n v="4"/>
    <x v="1"/>
    <m/>
    <m/>
    <s v="MISA"/>
    <m/>
    <n v="45000"/>
    <m/>
    <m/>
    <m/>
    <m/>
    <n v="45000"/>
    <n v="45000"/>
    <m/>
    <m/>
    <m/>
    <m/>
    <n v="45000"/>
    <n v="45000"/>
    <m/>
    <m/>
    <m/>
    <m/>
    <n v="45000"/>
    <n v="45000"/>
    <m/>
    <m/>
    <m/>
    <m/>
    <n v="45000"/>
    <n v="45000"/>
    <m/>
    <m/>
    <m/>
    <m/>
    <n v="45000"/>
    <n v="225000"/>
    <m/>
  </r>
  <r>
    <n v="2"/>
    <s v="2.1.6."/>
    <s v="Kinnipeetavate eesti keele õpe "/>
    <s v="Kinnipeetavad on osalenud eesti keeleõppes, sh 2016 - 710 õppekohta, 2017 - 670 õppekohta, 2018 - 670 õppekohta, 2019 - 670 õppekohta, 2020 - 670 õppekohta"/>
    <n v="20"/>
    <n v="5"/>
    <x v="4"/>
    <m/>
    <m/>
    <m/>
    <m/>
    <n v="282029"/>
    <m/>
    <m/>
    <m/>
    <m/>
    <n v="282029"/>
    <n v="282029"/>
    <m/>
    <m/>
    <m/>
    <m/>
    <n v="282029"/>
    <n v="282029"/>
    <m/>
    <m/>
    <m/>
    <m/>
    <n v="282029"/>
    <n v="282029"/>
    <m/>
    <m/>
    <m/>
    <m/>
    <n v="282029"/>
    <n v="282029"/>
    <m/>
    <m/>
    <m/>
    <m/>
    <n v="282029"/>
    <n v="1410145"/>
    <m/>
  </r>
  <r>
    <n v="2"/>
    <s v="2.1.7."/>
    <s v="Tehnilised vahendid etendusasutustes ja muuseumides muukeelse info paremaks ja efektiivsemaks edastamiseks "/>
    <s v="Hangitud tehniliste vahendite kasutajate arv - 20 000 inimest"/>
    <s v="31/40"/>
    <n v="4"/>
    <x v="1"/>
    <m/>
    <m/>
    <s v="INNOVE"/>
    <s v="MISA"/>
    <m/>
    <m/>
    <n v="353546"/>
    <m/>
    <m/>
    <n v="353546"/>
    <m/>
    <n v="71710.2"/>
    <n v="406357.8"/>
    <m/>
    <m/>
    <n v="478068"/>
    <m/>
    <m/>
    <m/>
    <m/>
    <m/>
    <n v="0"/>
    <m/>
    <m/>
    <m/>
    <m/>
    <m/>
    <n v="0"/>
    <m/>
    <m/>
    <m/>
    <m/>
    <m/>
    <n v="0"/>
    <n v="831614"/>
    <m/>
  </r>
  <r>
    <m/>
    <s v="Meede 2.2."/>
    <s v="Õiguslik-poliitilise lõimumise toetamine"/>
    <s v="Tugevnenud on ühist riigiidentiteeti, demokraatlikke ja kodanikeväärtusi toetavad hoiakud vähelõimunud Eesti püsielanike seas ja suurenenud on nende õigusteadlikkus. Samuti on teiste riikide ja määratlemata kodakondsusega isikud teadlikud Eesti kodakondsuse saamise võimalustest"/>
    <m/>
    <m/>
    <x v="0"/>
    <m/>
    <m/>
    <m/>
    <m/>
    <n v="51000"/>
    <n v="4500"/>
    <n v="25500"/>
    <n v="0"/>
    <n v="0"/>
    <n v="81000"/>
    <n v="51000"/>
    <n v="3000"/>
    <n v="17000"/>
    <n v="0"/>
    <n v="0"/>
    <n v="71000"/>
    <n v="51000"/>
    <n v="3000"/>
    <n v="17000"/>
    <n v="0"/>
    <n v="0"/>
    <n v="71000"/>
    <n v="51000"/>
    <n v="3000"/>
    <n v="17000"/>
    <n v="0"/>
    <n v="0"/>
    <n v="71000"/>
    <n v="51000"/>
    <n v="2250"/>
    <n v="12750"/>
    <n v="0"/>
    <n v="0"/>
    <n v="66000"/>
    <n v="360000"/>
    <m/>
  </r>
  <r>
    <m/>
    <m/>
    <m/>
    <s v="Teavitust läbiviivate organisatsioonide arv"/>
    <s v="x"/>
    <s v="x"/>
    <x v="0"/>
    <s v="2013: 1 org"/>
    <m/>
    <m/>
    <m/>
    <m/>
    <m/>
    <m/>
    <m/>
    <m/>
    <s v="1 org"/>
    <m/>
    <m/>
    <m/>
    <m/>
    <m/>
    <s v="1 org"/>
    <m/>
    <m/>
    <m/>
    <m/>
    <m/>
    <s v="1 org"/>
    <m/>
    <m/>
    <m/>
    <m/>
    <m/>
    <s v="1 org"/>
    <m/>
    <m/>
    <m/>
    <m/>
    <m/>
    <s v="1 org"/>
    <m/>
    <m/>
  </r>
  <r>
    <m/>
    <m/>
    <m/>
    <s v="Tegevustes osalenud määratlemata kodakondsusega inimeste ja teiste kolmandate riikide kodanike teadlikkus Eesti kodakondsuse omamisega kaasnevatest õigustest ja kohustustest"/>
    <s v="x"/>
    <s v="x"/>
    <x v="0"/>
    <s v="määratletakse 2016. a"/>
    <m/>
    <m/>
    <m/>
    <m/>
    <m/>
    <m/>
    <m/>
    <m/>
    <s v="määratletakse 2016. a"/>
    <m/>
    <m/>
    <m/>
    <m/>
    <m/>
    <s v="määratletakse 2016. a"/>
    <m/>
    <m/>
    <m/>
    <m/>
    <m/>
    <s v="määratletakse 2016. a"/>
    <m/>
    <m/>
    <m/>
    <m/>
    <m/>
    <s v="määratletakse 2016. a"/>
    <m/>
    <m/>
    <m/>
    <m/>
    <m/>
    <s v="määratletakse 2016. a"/>
    <m/>
    <m/>
  </r>
  <r>
    <m/>
    <m/>
    <m/>
    <s v="Toetatud organisatsioonide arv"/>
    <s v="x"/>
    <s v="x"/>
    <x v="0"/>
    <s v="2013: 2 org"/>
    <m/>
    <m/>
    <m/>
    <m/>
    <m/>
    <m/>
    <m/>
    <m/>
    <s v="2 org"/>
    <m/>
    <m/>
    <m/>
    <m/>
    <m/>
    <s v="2 org"/>
    <m/>
    <m/>
    <m/>
    <m/>
    <m/>
    <s v="2 org"/>
    <m/>
    <m/>
    <m/>
    <m/>
    <m/>
    <s v="2 org"/>
    <m/>
    <m/>
    <m/>
    <m/>
    <m/>
    <s v="2 org"/>
    <m/>
    <m/>
  </r>
  <r>
    <n v="2"/>
    <s v="2.2.1."/>
    <s v="Määratlemata kodakondsusega inimestele ja teistele kolmandate riikide kodanikele suunatud info levitamine kodakondsuse taotlemise võimaluste kohta"/>
    <s v="Määratlemata kodakondsusega inimestele ja teistele kolmandate riikide kodanikele suunatud info levitamine kodakondsuse taotlemise võimaluste kohta, töötab tasuta infotelefon ja veebileht www.meis.ee/kodanik"/>
    <s v="31/40"/>
    <n v="4"/>
    <x v="1"/>
    <m/>
    <m/>
    <s v="INNOVE"/>
    <s v="MISA"/>
    <m/>
    <n v="4500"/>
    <n v="25500"/>
    <m/>
    <m/>
    <n v="30000"/>
    <m/>
    <n v="3000"/>
    <n v="17000"/>
    <m/>
    <m/>
    <n v="20000"/>
    <m/>
    <n v="3000"/>
    <n v="17000"/>
    <m/>
    <m/>
    <n v="20000"/>
    <m/>
    <n v="3000"/>
    <n v="17000"/>
    <m/>
    <m/>
    <n v="20000"/>
    <m/>
    <n v="2250"/>
    <n v="12750"/>
    <m/>
    <m/>
    <n v="15000"/>
    <n v="105000"/>
    <m/>
  </r>
  <r>
    <n v="2"/>
    <s v="2.2.2."/>
    <s v="Määratlemata kodakondsusega isikuid teavitatakse (nii kirjalikult, s.h. elektrooniliselt kui ka suuliselt) Eesti kodakondsuse saamise võimalustest"/>
    <s v="Määratlemata kodakondsusega isikuid on teavitatud nii kirjalikult kui suuliselt PPA igapäevase töö raames"/>
    <m/>
    <m/>
    <x v="2"/>
    <m/>
    <m/>
    <s v="PPA"/>
    <m/>
    <m/>
    <m/>
    <m/>
    <m/>
    <m/>
    <n v="0"/>
    <m/>
    <m/>
    <m/>
    <m/>
    <m/>
    <n v="0"/>
    <m/>
    <m/>
    <m/>
    <m/>
    <m/>
    <n v="0"/>
    <m/>
    <m/>
    <m/>
    <m/>
    <m/>
    <n v="0"/>
    <m/>
    <m/>
    <m/>
    <m/>
    <m/>
    <n v="0"/>
    <n v="0"/>
    <s v="eraldi eelarvet ei ole, kulud kaetakse jooksvalt PPA eelarvest"/>
  </r>
  <r>
    <n v="2"/>
    <s v="2.2.3."/>
    <s v="Projektide läbiviimine Eesti kodakondsuse väärtustamise, inimõiguste tunnustamise ja ühise riigiidentiteedi tekkimise toetamiseks"/>
    <s v="2 organisatsiooni toetatud iga-aastaselt  "/>
    <s v="31/40"/>
    <n v="4"/>
    <x v="1"/>
    <m/>
    <m/>
    <s v="MISA"/>
    <m/>
    <n v="21000"/>
    <m/>
    <m/>
    <m/>
    <m/>
    <n v="21000"/>
    <n v="21000"/>
    <m/>
    <m/>
    <m/>
    <m/>
    <n v="21000"/>
    <n v="21000"/>
    <m/>
    <m/>
    <m/>
    <m/>
    <n v="21000"/>
    <n v="21000"/>
    <m/>
    <m/>
    <m/>
    <m/>
    <n v="21000"/>
    <n v="21000"/>
    <m/>
    <m/>
    <m/>
    <m/>
    <n v="21000"/>
    <n v="105000"/>
    <m/>
  </r>
  <r>
    <n v="2"/>
    <s v="2.2.4."/>
    <s v="Vene keelde tõlgitud õigusakti tekstide kaasajastamine "/>
    <s v="52 õigusakti, mis on tõlgitud vene keelde, kaasajastatakse 2020. aastaks"/>
    <n v="20"/>
    <n v="5"/>
    <x v="4"/>
    <m/>
    <m/>
    <m/>
    <m/>
    <n v="5000"/>
    <m/>
    <m/>
    <m/>
    <m/>
    <n v="5000"/>
    <n v="5000"/>
    <m/>
    <m/>
    <m/>
    <m/>
    <n v="5000"/>
    <n v="5000"/>
    <m/>
    <m/>
    <m/>
    <m/>
    <n v="5000"/>
    <n v="5000"/>
    <m/>
    <m/>
    <m/>
    <m/>
    <n v="5000"/>
    <n v="5000"/>
    <m/>
    <m/>
    <m/>
    <m/>
    <n v="5000"/>
    <n v="25000"/>
    <m/>
  </r>
  <r>
    <n v="2"/>
    <s v="2.2.5."/>
    <s v="Tasuta õigusabi pakkumine vene keeles "/>
    <s v="veebipõhist nõustamist on osutatud 1020 isikule aastas (isikud võivad korduda)"/>
    <n v="20"/>
    <n v="5"/>
    <x v="4"/>
    <m/>
    <m/>
    <m/>
    <m/>
    <n v="25000"/>
    <m/>
    <m/>
    <m/>
    <m/>
    <n v="25000"/>
    <n v="25000"/>
    <m/>
    <m/>
    <m/>
    <m/>
    <n v="25000"/>
    <n v="25000"/>
    <m/>
    <m/>
    <m/>
    <m/>
    <n v="25000"/>
    <n v="25000"/>
    <m/>
    <m/>
    <m/>
    <m/>
    <n v="25000"/>
    <n v="25000"/>
    <m/>
    <m/>
    <m/>
    <m/>
    <n v="25000"/>
    <n v="125000"/>
    <m/>
  </r>
  <r>
    <m/>
    <s v="Meede 2.3."/>
    <s v="Võrdse kohtlemise edendamine tööturul"/>
    <s v="Suurenenud on organisatsioonide teadlikkus tööturul rahvuspõhise eraldatuse vähendamise vajalikkusest"/>
    <m/>
    <m/>
    <x v="0"/>
    <m/>
    <m/>
    <m/>
    <m/>
    <n v="25000"/>
    <n v="7500"/>
    <n v="42500"/>
    <n v="0"/>
    <n v="0"/>
    <n v="75000"/>
    <n v="55000"/>
    <n v="7500"/>
    <n v="42500"/>
    <n v="0"/>
    <n v="0"/>
    <n v="105000"/>
    <n v="25000"/>
    <n v="0"/>
    <n v="0"/>
    <n v="0"/>
    <n v="0"/>
    <n v="25000"/>
    <n v="25000"/>
    <n v="0"/>
    <n v="0"/>
    <n v="0"/>
    <n v="0"/>
    <n v="25000"/>
    <n v="25000"/>
    <n v="0"/>
    <n v="0"/>
    <n v="0"/>
    <n v="0"/>
    <n v="25000"/>
    <n v="255000"/>
    <m/>
  </r>
  <r>
    <m/>
    <m/>
    <m/>
    <s v="Tegevustesse hõlmatud organisatsioonide arv"/>
    <s v="x"/>
    <s v="x"/>
    <x v="0"/>
    <s v="2014: 0 org"/>
    <m/>
    <m/>
    <m/>
    <m/>
    <m/>
    <m/>
    <m/>
    <m/>
    <s v="3 org"/>
    <m/>
    <m/>
    <m/>
    <m/>
    <m/>
    <s v="10 org"/>
    <m/>
    <m/>
    <m/>
    <m/>
    <m/>
    <s v="10 org"/>
    <m/>
    <m/>
    <m/>
    <m/>
    <m/>
    <s v="10 org"/>
    <m/>
    <m/>
    <m/>
    <m/>
    <m/>
    <s v="10 org"/>
    <m/>
    <m/>
  </r>
  <r>
    <n v="2"/>
    <s v="2.3.1."/>
    <s v="Võrdse kohtlemise edendamisega töökollektiivides seotud projektide elluviimise kaasrahastamine"/>
    <s v="1 projekt ettevalmistatud ja rakendatud. Projektis osales: 20 vähelõimunud püsielanikust töötut, 20 mentorit ja 10 ettevõtet.   "/>
    <n v="20"/>
    <n v="4"/>
    <x v="1"/>
    <m/>
    <m/>
    <s v="MISA"/>
    <m/>
    <n v="25000"/>
    <m/>
    <m/>
    <m/>
    <m/>
    <n v="25000"/>
    <n v="25000"/>
    <m/>
    <m/>
    <m/>
    <m/>
    <n v="25000"/>
    <n v="25000"/>
    <m/>
    <m/>
    <m/>
    <m/>
    <n v="25000"/>
    <n v="25000"/>
    <m/>
    <m/>
    <m/>
    <m/>
    <n v="25000"/>
    <n v="25000"/>
    <m/>
    <m/>
    <m/>
    <m/>
    <n v="25000"/>
    <n v="125000"/>
    <m/>
  </r>
  <r>
    <n v="2"/>
    <s v="2.3.2."/>
    <s v="Keeleliselt mitmekesise töötajaskonnaga avaliku ja erasektori organisatsioonide toetamine ning teavitus eesti keelest erineva emakeelega inimestele karjäärivõimalustest avalikus sektoris "/>
    <s v="1 teavitusprogramm ette valmistatud ja rakendatud"/>
    <s v="31/40"/>
    <n v="4"/>
    <x v="1"/>
    <m/>
    <m/>
    <s v="INNOVE"/>
    <s v="MISA"/>
    <m/>
    <n v="7500"/>
    <n v="42500"/>
    <m/>
    <m/>
    <n v="50000"/>
    <m/>
    <n v="7500"/>
    <n v="42500"/>
    <m/>
    <m/>
    <n v="50000"/>
    <m/>
    <m/>
    <m/>
    <m/>
    <m/>
    <n v="0"/>
    <m/>
    <m/>
    <m/>
    <m/>
    <m/>
    <n v="0"/>
    <m/>
    <m/>
    <m/>
    <m/>
    <m/>
    <n v="0"/>
    <n v="100000"/>
    <m/>
  </r>
  <r>
    <n v="2"/>
    <s v="2.3.3."/>
    <s v="Avalike teenistujate rahvuslik-keelelise koosseisu analüüs"/>
    <s v="1 analüüs läbi viidud avalike teenistujate rahvusliku-keelelise koosseisu osas"/>
    <n v="40"/>
    <n v="55"/>
    <x v="5"/>
    <m/>
    <m/>
    <m/>
    <m/>
    <m/>
    <m/>
    <m/>
    <m/>
    <m/>
    <n v="0"/>
    <n v="30000"/>
    <m/>
    <m/>
    <m/>
    <m/>
    <n v="30000"/>
    <m/>
    <m/>
    <m/>
    <m/>
    <m/>
    <n v="0"/>
    <m/>
    <m/>
    <m/>
    <m/>
    <m/>
    <n v="0"/>
    <m/>
    <m/>
    <m/>
    <m/>
    <m/>
    <n v="0"/>
    <n v="30000"/>
    <m/>
  </r>
  <r>
    <m/>
    <s v="Alaeesmärk 3"/>
    <s v="Uussisserändajad on Eesti ühiskonnas kohanenud "/>
    <m/>
    <m/>
    <m/>
    <x v="0"/>
    <m/>
    <m/>
    <m/>
    <m/>
    <n v="0"/>
    <n v="147164.07"/>
    <n v="855748.51500000001"/>
    <n v="65456.355000000003"/>
    <n v="0"/>
    <n v="1068368.94"/>
    <n v="0"/>
    <n v="160853.62799999997"/>
    <n v="911503.89199999999"/>
    <n v="100000"/>
    <n v="300000"/>
    <n v="1472357.52"/>
    <n v="0"/>
    <n v="192216.685"/>
    <n v="1089228.2149999999"/>
    <n v="100000"/>
    <n v="300000"/>
    <n v="1681444.9"/>
    <n v="0"/>
    <n v="193695.15"/>
    <n v="1097605.8500000001"/>
    <n v="100000"/>
    <n v="300000"/>
    <n v="1691301"/>
    <n v="0"/>
    <n v="215978.10509375003"/>
    <n v="1223876.5955312501"/>
    <n v="125000"/>
    <n v="375000"/>
    <n v="1939854.7006250001"/>
    <n v="7853327.0606249999"/>
    <m/>
  </r>
  <r>
    <m/>
    <s v="Meede 3.1."/>
    <s v="Kohanemiskoolituste pakkumine uussisserändajatele"/>
    <s v="Kohanemisprogrammi läbinud uussisserändajatel on paranenud eesti keele oskus, praktiline informeeritus ja teadmised Eesti riigi, ühiskonna ja kultuuri kohta"/>
    <m/>
    <m/>
    <x v="0"/>
    <m/>
    <m/>
    <m/>
    <m/>
    <n v="0"/>
    <n v="123985.07249999999"/>
    <n v="724400.86250000005"/>
    <n v="65456.355000000003"/>
    <n v="0"/>
    <n v="913842.29"/>
    <n v="0"/>
    <n v="95458.427999999985"/>
    <n v="540931.09199999995"/>
    <n v="100000"/>
    <n v="300000"/>
    <n v="1036389.5199999999"/>
    <n v="0"/>
    <n v="134321.535"/>
    <n v="761155.36499999999"/>
    <n v="100000"/>
    <n v="300000"/>
    <n v="1295476.8999999999"/>
    <n v="0"/>
    <n v="133300"/>
    <n v="755366"/>
    <n v="100000"/>
    <n v="300000"/>
    <n v="1288666"/>
    <n v="0"/>
    <n v="155582.95509375003"/>
    <n v="881636.74553125014"/>
    <n v="125000"/>
    <n v="375000"/>
    <n v="1537219.7006250001"/>
    <n v="6071594.4106249996"/>
    <m/>
  </r>
  <r>
    <m/>
    <m/>
    <m/>
    <s v="Koolitatavate arv"/>
    <s v="x"/>
    <s v="x"/>
    <x v="0"/>
    <s v="2014: 0 in"/>
    <m/>
    <m/>
    <m/>
    <m/>
    <m/>
    <m/>
    <m/>
    <m/>
    <s v="määratletakse 2017. a"/>
    <m/>
    <m/>
    <m/>
    <m/>
    <m/>
    <s v="määratletakse 2017. a"/>
    <m/>
    <m/>
    <m/>
    <m/>
    <m/>
    <s v="määratletakse 2017. a"/>
    <m/>
    <m/>
    <m/>
    <m/>
    <m/>
    <s v="määratletakse 2017. a"/>
    <m/>
    <m/>
    <m/>
    <m/>
    <m/>
    <s v="8 575 in."/>
    <m/>
    <m/>
  </r>
  <r>
    <n v="3"/>
    <s v="3.1.1."/>
    <s v="Kohanemisprogrammi väljatöötamine, piloteerimine ja rakendamine"/>
    <s v="Kohanemisprogrammi läbinud uussisserändajatel on paranenud eesti keele oskus, praktiline informeeritus ja teadmised Eesti riigi, ühiskonna ja kultuuri kohta"/>
    <s v="31/40"/>
    <s v="4/5"/>
    <x v="2"/>
    <m/>
    <m/>
    <s v="INNOVE"/>
    <m/>
    <m/>
    <n v="123985.07249999999"/>
    <n v="702582.07750000001"/>
    <m/>
    <m/>
    <n v="826567.15"/>
    <m/>
    <n v="95458.427999999985"/>
    <n v="540931.09199999995"/>
    <m/>
    <m/>
    <n v="636389.5199999999"/>
    <m/>
    <n v="134321.535"/>
    <n v="761155.36499999999"/>
    <m/>
    <m/>
    <n v="895476.9"/>
    <m/>
    <n v="133300"/>
    <n v="755366"/>
    <m/>
    <m/>
    <n v="888666"/>
    <m/>
    <n v="155582.95509375003"/>
    <n v="881636.74553125014"/>
    <m/>
    <m/>
    <n v="1037219.7006250002"/>
    <n v="4284319.2706249999"/>
    <m/>
  </r>
  <r>
    <n v="3"/>
    <s v="3.1.2."/>
    <s v="Kohanemiskoolituste väljatöötamine ja pakkumine rahvusvahelise kaitse saajatele ning kolmandatest riikidest pärit üliõpilastele ja teadlastele"/>
    <s v="Kohanemisprogrammi rakendatakse aastast 2015"/>
    <s v="31/40"/>
    <s v="4/5"/>
    <x v="2"/>
    <m/>
    <m/>
    <m/>
    <s v="SiM"/>
    <m/>
    <m/>
    <n v="21818.785"/>
    <n v="65456.355000000003"/>
    <m/>
    <n v="87275.14"/>
    <m/>
    <m/>
    <m/>
    <n v="100000"/>
    <n v="300000"/>
    <n v="400000"/>
    <m/>
    <m/>
    <m/>
    <n v="100000"/>
    <n v="300000"/>
    <n v="400000"/>
    <m/>
    <m/>
    <m/>
    <n v="100000"/>
    <n v="300000"/>
    <n v="400000"/>
    <m/>
    <m/>
    <m/>
    <n v="125000"/>
    <n v="375000"/>
    <n v="500000"/>
    <n v="1787275.1400000001"/>
    <m/>
  </r>
  <r>
    <m/>
    <s v="Meede 3.2. "/>
    <s v="Uussisserändajatele suunatud tugiteenuste arendamine"/>
    <s v="Era-, kolmanda ja avaliku sektori koostöös toimiva uussisserändajate kohanemist toetava tugisüsteemi kujundamisega on tagatud uussisserändajatele vajaliku info kättesaadavus, toetatud sihtrühmale vajalike teenuste arendamine ning organisatsioonide koostöö. Tagatud on uussisserändajatega kokkupuutuvate organisatsioonide ametnike teadlikkus sihtrühma õigustest ja neile suunatud teenustest"/>
    <m/>
    <m/>
    <x v="0"/>
    <m/>
    <m/>
    <m/>
    <m/>
    <n v="0"/>
    <n v="23178.997499999998"/>
    <n v="131347.6525"/>
    <n v="0"/>
    <n v="0"/>
    <n v="154526.65"/>
    <n v="0"/>
    <n v="65395.199999999997"/>
    <n v="370572.79999999999"/>
    <n v="0"/>
    <n v="0"/>
    <n v="435968"/>
    <n v="0"/>
    <n v="57895.15"/>
    <n v="328072.84999999998"/>
    <n v="0"/>
    <n v="0"/>
    <n v="385968"/>
    <n v="0"/>
    <n v="60395.15"/>
    <n v="342239.85"/>
    <n v="0"/>
    <n v="0"/>
    <n v="402635"/>
    <n v="0"/>
    <n v="60395.15"/>
    <n v="342239.85"/>
    <n v="0"/>
    <n v="0"/>
    <n v="402635"/>
    <n v="1781732.65"/>
    <m/>
  </r>
  <r>
    <m/>
    <m/>
    <m/>
    <s v="Arendatud või väljatöötatud teenuste arv"/>
    <s v="x"/>
    <s v="x"/>
    <x v="0"/>
    <s v="2014: 0 tk"/>
    <m/>
    <m/>
    <m/>
    <m/>
    <m/>
    <m/>
    <m/>
    <m/>
    <s v="määratletakse 2017. a"/>
    <m/>
    <m/>
    <m/>
    <m/>
    <m/>
    <s v="määratletakse 2017. a"/>
    <m/>
    <m/>
    <m/>
    <m/>
    <m/>
    <s v="määratletakse 2017. a"/>
    <m/>
    <m/>
    <m/>
    <m/>
    <m/>
    <s v="määratletakse 2017. a"/>
    <m/>
    <m/>
    <m/>
    <m/>
    <m/>
    <s v="50 tk"/>
    <m/>
    <m/>
  </r>
  <r>
    <n v="3"/>
    <s v="3.2.1."/>
    <s v="Infovärava kontseptsiooni väljatöötamine ja rakendamine "/>
    <s v="Infoväravat rakendatakse 2016.a"/>
    <s v="31/40"/>
    <s v="4/5"/>
    <x v="2"/>
    <m/>
    <m/>
    <s v="INNOVE"/>
    <m/>
    <m/>
    <n v="12153.997499999999"/>
    <n v="68872.652499999997"/>
    <m/>
    <m/>
    <n v="81026.649999999994"/>
    <m/>
    <n v="6937.65"/>
    <n v="39313.35"/>
    <m/>
    <m/>
    <n v="46251"/>
    <m/>
    <n v="6937.65"/>
    <n v="39313.35"/>
    <m/>
    <m/>
    <n v="46251"/>
    <m/>
    <n v="6937.65"/>
    <n v="39313.35"/>
    <m/>
    <m/>
    <n v="46251"/>
    <m/>
    <n v="6937.65"/>
    <n v="39313.35"/>
    <m/>
    <m/>
    <n v="46251"/>
    <n v="266030.65000000002"/>
    <m/>
  </r>
  <r>
    <n v="3"/>
    <s v="3.2.2."/>
    <s v="Tugivõrgustike kontseptsiooni väljatöötamine ja rakendamine "/>
    <s v="1 tugivõrgustike kontseptsioon välja töötatud 2017 ja selle sisu on rakendatud alates 2017"/>
    <s v="31/40"/>
    <s v="4/5"/>
    <x v="2"/>
    <m/>
    <m/>
    <s v="INNOVE"/>
    <m/>
    <m/>
    <n v="11025"/>
    <n v="62475"/>
    <m/>
    <m/>
    <n v="73500"/>
    <m/>
    <n v="58457.549999999996"/>
    <n v="331259.45"/>
    <m/>
    <m/>
    <n v="389717"/>
    <m/>
    <n v="50957.5"/>
    <n v="288759.5"/>
    <m/>
    <m/>
    <n v="339717"/>
    <m/>
    <n v="53457.5"/>
    <n v="302926.5"/>
    <m/>
    <m/>
    <n v="356384"/>
    <m/>
    <n v="53457.5"/>
    <n v="302926.5"/>
    <m/>
    <m/>
    <n v="356384"/>
    <n v="1515702"/>
    <m/>
  </r>
  <r>
    <m/>
    <s v="Eesmärk 4"/>
    <s v="Eesti keelest erineva emakeelega õpilastel on konkurentsivõimelised teadmised ja oskused eestikeelses keskkonnas toimetulekuks"/>
    <m/>
    <m/>
    <m/>
    <x v="0"/>
    <m/>
    <m/>
    <m/>
    <m/>
    <n v="0"/>
    <n v="0"/>
    <n v="0"/>
    <n v="0"/>
    <n v="0"/>
    <n v="0"/>
    <n v="0"/>
    <n v="0"/>
    <n v="0"/>
    <n v="0"/>
    <n v="0"/>
    <n v="0"/>
    <n v="0"/>
    <n v="0"/>
    <n v="0"/>
    <n v="0"/>
    <n v="0"/>
    <n v="0"/>
    <n v="0"/>
    <n v="0"/>
    <n v="0"/>
    <n v="0"/>
    <n v="0"/>
    <n v="0"/>
    <n v="0"/>
    <n v="0"/>
    <n v="0"/>
    <n v="0"/>
    <n v="0"/>
    <n v="0"/>
    <n v="0"/>
    <s v="Meetmete 4.1. ja 4.2. kogumaksumus perioodil 2018-2020 on kokku ca ... miljonit eurot"/>
  </r>
  <r>
    <m/>
    <s v="Meede 4.1."/>
    <s v="Eesti keelest erineva emakeelega inimestele konkurentsivõimeliste haridusvõimaluste tagamine"/>
    <s v="Eesti keelest erineva emakeelega üldhariduskoolides on loodud keskkond, kus pööratakse tähelepanu iga õppija arengule ja potentsiaali väljaarendamisele ning väärtustatakse isiksuse erinevusi; kutseõppes on tagatatudvene õppekeeles õppijaile täiendavad eesti keele õppe võimalused, et lõpetajad omandaksid edasiõppimiseks ja tööalaseks toimetulekuks vajaliku eesti keele oskuse; kõrghariduses  on aidatud vene emakeelega, Eestis keskhariduse omandanud üliõpilastel arendada akadeemiliseks õppeks ja hilisemaks töötamiseks vajalikku eesti keele ja erialase keele oskust"/>
    <m/>
    <m/>
    <x v="0"/>
    <m/>
    <m/>
    <m/>
    <m/>
    <n v="0"/>
    <n v="0"/>
    <n v="0"/>
    <n v="0"/>
    <n v="0"/>
    <n v="0"/>
    <n v="0"/>
    <n v="0"/>
    <n v="0"/>
    <n v="0"/>
    <n v="0"/>
    <n v="0"/>
    <n v="0"/>
    <n v="0"/>
    <n v="0"/>
    <n v="0"/>
    <n v="0"/>
    <n v="0"/>
    <n v="0"/>
    <n v="0"/>
    <n v="0"/>
    <n v="0"/>
    <n v="0"/>
    <n v="0"/>
    <n v="0"/>
    <n v="0"/>
    <n v="0"/>
    <n v="0"/>
    <n v="0"/>
    <n v="0"/>
    <n v="0"/>
    <s v="Rahalised vahendid ette nähtud alltoodud arengukavas."/>
  </r>
  <r>
    <m/>
    <m/>
    <m/>
    <s v="Eesti keelest erineva emakeelega põhikooli lõpetajate osakaal, kes valdavad eesti keelt vähemalt tasemel B1 (%)._x000a_"/>
    <s v="x"/>
    <s v="x"/>
    <x v="0"/>
    <s v="2014: 67% "/>
    <m/>
    <m/>
    <m/>
    <m/>
    <m/>
    <m/>
    <m/>
    <m/>
    <s v="70%"/>
    <m/>
    <m/>
    <m/>
    <m/>
    <m/>
    <s v="74%"/>
    <m/>
    <m/>
    <m/>
    <m/>
    <m/>
    <s v="78%"/>
    <m/>
    <m/>
    <m/>
    <m/>
    <m/>
    <s v="82%"/>
    <m/>
    <m/>
    <m/>
    <m/>
    <m/>
    <s v="82%"/>
    <m/>
    <m/>
  </r>
  <r>
    <m/>
    <m/>
    <m/>
    <s v="Vene õppekeelega põhikooli lõpetajate osakaalu kasv 82%-ni, kes valdavad eesti keelt vähemalt tasemel B1."/>
    <s v="x"/>
    <s v="x"/>
    <x v="0"/>
    <m/>
    <m/>
    <m/>
    <m/>
    <m/>
    <m/>
    <m/>
    <m/>
    <m/>
    <m/>
    <m/>
    <m/>
    <m/>
    <m/>
    <m/>
    <m/>
    <m/>
    <m/>
    <m/>
    <m/>
    <m/>
    <m/>
    <m/>
    <m/>
    <m/>
    <m/>
    <m/>
    <m/>
    <m/>
    <m/>
    <m/>
    <m/>
    <m/>
    <m/>
    <m/>
    <m/>
  </r>
  <r>
    <m/>
    <m/>
    <m/>
    <s v="Eesti keele kui teise keele riigieksami vähemalt 60% tulemusega sooritanute osakaal eksamil käinud gümnaasiumilõpetajate arvust"/>
    <s v="x"/>
    <s v="x"/>
    <x v="0"/>
    <s v="2012: 70,3%"/>
    <m/>
    <m/>
    <m/>
    <m/>
    <m/>
    <m/>
    <m/>
    <m/>
    <s v="– "/>
    <m/>
    <m/>
    <m/>
    <m/>
    <m/>
    <s v="75%"/>
    <m/>
    <m/>
    <m/>
    <m/>
    <m/>
    <s v="– "/>
    <m/>
    <m/>
    <m/>
    <m/>
    <m/>
    <s v="– "/>
    <m/>
    <m/>
    <m/>
    <m/>
    <m/>
    <s v="75% "/>
    <m/>
    <m/>
  </r>
  <r>
    <n v="4"/>
    <s v="4.1.1."/>
    <s v="Üldhariduskoolide, lasteaedade ja kutseõppeasutuse õpetajate ja koolijuhtide koolitussüsteemi kujundamine, mh LAK-õppe koolitused, eesti keelest erineva emakeelega haridusasutuste töötajate väärtuskasvatuse koolitused, eesti keelest erineva emakeelega koolide õpetajate ja koolijuhtide erialaste pädevuste arendamine (üldise koolitussüsteemi arendamise raames)"/>
    <s v="Eesti keelest erineva emakeelega haridusasutuste töötajatele on läbiviidud erinevad koolitused"/>
    <m/>
    <m/>
    <x v="3"/>
    <m/>
    <m/>
    <m/>
    <m/>
    <m/>
    <m/>
    <m/>
    <m/>
    <m/>
    <n v="0"/>
    <m/>
    <m/>
    <m/>
    <m/>
    <m/>
    <n v="0"/>
    <m/>
    <m/>
    <m/>
    <m/>
    <m/>
    <n v="0"/>
    <m/>
    <m/>
    <m/>
    <m/>
    <m/>
    <n v="0"/>
    <m/>
    <m/>
    <m/>
    <m/>
    <m/>
    <n v="0"/>
    <n v="0"/>
    <s v="Tegevuse rahastamine toimub Eesti elukestva õppe strateegia &quot;Üldharidusprogrammi&quot; kaudu."/>
  </r>
  <r>
    <n v="4"/>
    <s v="4.1.2."/>
    <s v="Õpikäsituse rakendamist toetavate koostöövormide loomine ja toetamine"/>
    <s v="Välja on kujunenud õpikäsituse rakendamist soodustavad koostöövõrgustikud, kus osalevad aktiivselt ka vene õppekeelega koolid. Osapoolte vastutus õpikäsituse rakendamise eest on selgemalt määratletud ja võimalused kaardistatud."/>
    <m/>
    <m/>
    <x v="3"/>
    <m/>
    <m/>
    <m/>
    <m/>
    <m/>
    <m/>
    <m/>
    <m/>
    <m/>
    <n v="0"/>
    <m/>
    <m/>
    <m/>
    <m/>
    <m/>
    <n v="0"/>
    <m/>
    <m/>
    <m/>
    <m/>
    <m/>
    <n v="0"/>
    <m/>
    <m/>
    <m/>
    <m/>
    <m/>
    <n v="0"/>
    <m/>
    <m/>
    <m/>
    <m/>
    <m/>
    <n v="0"/>
    <n v="0"/>
    <s v="Tegevuse rahastamine toimub Eesti elukestva õppe strateegia &quot;Üldharidusprogrammi&quot; kaudu."/>
  </r>
  <r>
    <n v="4"/>
    <s v="4.1.3."/>
    <s v="Teadlike valikute kujundamiseks info- ja nõustamisteenuste pakkumine "/>
    <s v="Eesti keelest erineva emakeelega koolide õpilased on saanud infot ja läbinud nõustamise"/>
    <m/>
    <m/>
    <x v="3"/>
    <m/>
    <m/>
    <m/>
    <m/>
    <m/>
    <m/>
    <m/>
    <m/>
    <m/>
    <n v="0"/>
    <m/>
    <m/>
    <m/>
    <m/>
    <m/>
    <n v="0"/>
    <m/>
    <m/>
    <m/>
    <m/>
    <m/>
    <n v="0"/>
    <m/>
    <m/>
    <m/>
    <m/>
    <m/>
    <n v="0"/>
    <m/>
    <m/>
    <m/>
    <m/>
    <m/>
    <n v="0"/>
    <n v="0"/>
    <s v="Tegevuse rahastamine toimub Eesti elukestva õppe strateegia &quot;Õppe- ja karjäärinõustamise programmi&quot; kaudu."/>
  </r>
  <r>
    <n v="4"/>
    <s v="4.1.4."/>
    <s v="Eesti keelest erineva emakeelega õpilaste toetamine eesti keele omandamisel."/>
    <s v="Eesti keelest erineva emakeelega lastele ja noortele on tagatud kõigil haridustasemetel võimalused Eesti ühiskonnas aktiivseks toimimiseks ja õpingute jätkamiseks võrdselt eesti keelt emakeelena rääkivate õppuritega."/>
    <m/>
    <m/>
    <x v="3"/>
    <m/>
    <m/>
    <m/>
    <m/>
    <m/>
    <m/>
    <m/>
    <m/>
    <m/>
    <n v="0"/>
    <m/>
    <m/>
    <m/>
    <m/>
    <m/>
    <n v="0"/>
    <m/>
    <m/>
    <m/>
    <m/>
    <m/>
    <n v="0"/>
    <m/>
    <m/>
    <m/>
    <m/>
    <m/>
    <n v="0"/>
    <m/>
    <m/>
    <m/>
    <m/>
    <m/>
    <n v="0"/>
    <n v="0"/>
    <s v="Tegevuse rahastamine toimub Eesti elukestva õppe strateegia &quot;Üldharidusprogrammi&quot; kaudu."/>
  </r>
  <r>
    <n v="4"/>
    <s v="4.1.5."/>
    <s v="Eesti keele oskuse tagamine ning eesti keelt väärtustavate hoiakute kujundamine eesti keelest erineva emakeelega üldhariduses läbi tegevuste, mis annavad võimaluse eesti keelest erineva emakeelega õpilastel koolis õpitud eesti keelt reaalelus kasutada."/>
    <s v="Eesti keele õppe arendamisel on toetatud haridusasutusi"/>
    <m/>
    <m/>
    <x v="3"/>
    <m/>
    <m/>
    <m/>
    <m/>
    <m/>
    <m/>
    <m/>
    <m/>
    <m/>
    <n v="0"/>
    <m/>
    <m/>
    <m/>
    <m/>
    <m/>
    <n v="0"/>
    <m/>
    <m/>
    <m/>
    <m/>
    <m/>
    <n v="0"/>
    <m/>
    <m/>
    <m/>
    <m/>
    <m/>
    <n v="0"/>
    <m/>
    <m/>
    <m/>
    <m/>
    <m/>
    <n v="0"/>
    <n v="0"/>
    <s v="Tegevuse rahastamine toimub Eesti elukestva õppe strateegia &quot;Üldharidusprogrammi&quot; kaudu."/>
  </r>
  <r>
    <n v="4"/>
    <s v="4.1.6."/>
    <s v="Kutsehariduse valdkonnas luuakse eesti keelest erineva emakeelega õppuritele võimalused täiendavaks eesti keele õppeks"/>
    <s v="Eesti keeles toimuva õppe osakaal (%) kutsekeskhariduse õppekavadel (vastaval õppeaastal sisseastujatele)."/>
    <m/>
    <m/>
    <x v="3"/>
    <m/>
    <m/>
    <m/>
    <m/>
    <m/>
    <m/>
    <m/>
    <m/>
    <m/>
    <n v="0"/>
    <m/>
    <m/>
    <m/>
    <m/>
    <m/>
    <n v="0"/>
    <m/>
    <m/>
    <m/>
    <m/>
    <m/>
    <n v="0"/>
    <m/>
    <m/>
    <m/>
    <m/>
    <m/>
    <n v="0"/>
    <m/>
    <m/>
    <m/>
    <m/>
    <m/>
    <n v="0"/>
    <n v="0"/>
    <s v="Tegevuse rahastamine toimub Eesti elukestva õppe strateegia &quot;Tööturu ja õppe tihedama seostamise programmi&quot; ja &quot;Kutseharidusprogrammi&quot; kaudu."/>
  </r>
  <r>
    <m/>
    <s v="Meede 4.2. "/>
    <s v="Eesti keelele ülemineku, keelekümbluse ja lõimitud aineõppe läbiviimise ja rakendamise toetamine"/>
    <s v="Programmis osalejad on iga-aastaselt tunnustatud üleriigiliselt või piirkondlikult; keelekümblusrühmade lapsed ja keelekümblusklasside õpilased on kaasatud aktiivset keeleõpet võimaldavatesse tunnivälistesse õppimisviisidesse; õpetajad kasutavad õppetöös keelekümblusmetoodika põhimõtteid ja on rahul tööga, väljatöötatud juhendite ja materjalide kvaliteedi ning kättesaadavusega; keelekümblus on kajastatud programmiga liitunud kohalike omavalitsuste arengukavades"/>
    <m/>
    <m/>
    <x v="0"/>
    <m/>
    <m/>
    <m/>
    <m/>
    <n v="0"/>
    <n v="0"/>
    <n v="0"/>
    <n v="0"/>
    <n v="0"/>
    <n v="0"/>
    <n v="0"/>
    <n v="0"/>
    <n v="0"/>
    <n v="0"/>
    <n v="0"/>
    <n v="0"/>
    <n v="0"/>
    <n v="0"/>
    <n v="0"/>
    <n v="0"/>
    <n v="0"/>
    <n v="0"/>
    <n v="0"/>
    <n v="0"/>
    <n v="0"/>
    <n v="0"/>
    <n v="0"/>
    <n v="0"/>
    <n v="0"/>
    <n v="0"/>
    <n v="0"/>
    <n v="0"/>
    <n v="0"/>
    <n v="0"/>
    <n v="0"/>
    <s v="Tegevuse rahastamine toimub Eesti elukestva õppe strateegia &quot;Üldharidusprogrammi&quot; kaudu."/>
  </r>
  <r>
    <m/>
    <m/>
    <m/>
    <s v="Eestikeelses õppes ja keelekümblusklassides osalevate eesti keelest erineva emakeelega õpilaste osakaal (%) "/>
    <s v="x"/>
    <s v="x"/>
    <x v="0"/>
    <s v="2015: 28,7%"/>
    <m/>
    <m/>
    <m/>
    <m/>
    <m/>
    <m/>
    <m/>
    <m/>
    <s v="suureneb"/>
    <m/>
    <m/>
    <m/>
    <m/>
    <m/>
    <s v="suureneb"/>
    <m/>
    <m/>
    <m/>
    <m/>
    <m/>
    <s v="suureneb"/>
    <m/>
    <m/>
    <m/>
    <m/>
    <m/>
    <s v="suureneb"/>
    <m/>
    <m/>
    <m/>
    <m/>
    <m/>
    <s v="suureneb"/>
    <m/>
    <m/>
  </r>
  <r>
    <m/>
    <m/>
    <m/>
    <s v="Eestikeelsete tundide osakaal kõikidest tundidest eesti/vene ja vene õppekeelega koolide põhikooliastmes, kus ei toimu keelekümblust "/>
    <s v="x"/>
    <s v="x"/>
    <x v="0"/>
    <s v="2015: 17%"/>
    <m/>
    <m/>
    <m/>
    <m/>
    <m/>
    <m/>
    <m/>
    <m/>
    <s v="suureneb"/>
    <m/>
    <m/>
    <m/>
    <m/>
    <m/>
    <s v="suureneb"/>
    <m/>
    <m/>
    <m/>
    <m/>
    <m/>
    <s v="suureneb"/>
    <m/>
    <m/>
    <m/>
    <m/>
    <m/>
    <s v="suureneb"/>
    <m/>
    <m/>
    <m/>
    <m/>
    <m/>
    <s v="suureneb"/>
    <m/>
    <m/>
  </r>
  <r>
    <n v="4"/>
    <s v="4.2.1."/>
    <s v="Keelekümblusprogrammi arendamine ja rakendamine"/>
    <s v="Suureneb eesti õppekeelega koolides ja keelekümblusprogrammis osalevate eesti keelest erineva emakeelega õppijate arv."/>
    <m/>
    <m/>
    <x v="3"/>
    <m/>
    <m/>
    <m/>
    <m/>
    <m/>
    <m/>
    <m/>
    <m/>
    <m/>
    <n v="0"/>
    <m/>
    <m/>
    <m/>
    <m/>
    <m/>
    <n v="0"/>
    <m/>
    <m/>
    <m/>
    <m/>
    <m/>
    <n v="0"/>
    <m/>
    <m/>
    <m/>
    <m/>
    <m/>
    <n v="0"/>
    <m/>
    <m/>
    <m/>
    <m/>
    <m/>
    <n v="0"/>
    <n v="0"/>
    <s v="Tegevuse rahastamine toimub Eesti elukestva õppe strateegia &quot;Üldharidusprogrammi&quot; kaudu."/>
  </r>
  <r>
    <n v="4"/>
    <s v="4.2.2."/>
    <s v="Institutsionaalne toetus haridusasutustele üleminekul eestikeelsele aineõppele"/>
    <s v="Toetust on saanud haridusasutused"/>
    <m/>
    <m/>
    <x v="3"/>
    <m/>
    <m/>
    <m/>
    <m/>
    <m/>
    <m/>
    <m/>
    <m/>
    <m/>
    <n v="0"/>
    <m/>
    <m/>
    <m/>
    <m/>
    <m/>
    <n v="0"/>
    <m/>
    <m/>
    <m/>
    <m/>
    <m/>
    <n v="0"/>
    <m/>
    <m/>
    <m/>
    <m/>
    <m/>
    <n v="0"/>
    <m/>
    <m/>
    <m/>
    <m/>
    <m/>
    <n v="0"/>
    <n v="0"/>
    <s v="Tegevuse rahastamine toimub Eesti elukestva õppe strateegia &quot;Üldharidusprogrammi&quot; kaudu."/>
  </r>
  <r>
    <m/>
    <s v="Eesmärk 5"/>
    <s v="Eesti keelest erineva emakeelega noored osalevad aktiivselt noorsootöös ja neil on tihedad kontaktid eestikeelsete eakaaslastega"/>
    <m/>
    <m/>
    <m/>
    <x v="0"/>
    <m/>
    <m/>
    <m/>
    <m/>
    <n v="0"/>
    <n v="0"/>
    <n v="0"/>
    <n v="0"/>
    <n v="0"/>
    <n v="0"/>
    <n v="0"/>
    <n v="0"/>
    <n v="0"/>
    <n v="0"/>
    <n v="0"/>
    <n v="0"/>
    <n v="0"/>
    <n v="0"/>
    <n v="0"/>
    <n v="0"/>
    <n v="0"/>
    <n v="0"/>
    <n v="0"/>
    <n v="0"/>
    <n v="0"/>
    <n v="0"/>
    <n v="0"/>
    <n v="0"/>
    <n v="0"/>
    <n v="0"/>
    <n v="0"/>
    <n v="0"/>
    <n v="0"/>
    <n v="0"/>
    <n v="0"/>
    <m/>
  </r>
  <r>
    <m/>
    <s v="Meede 5.1."/>
    <s v="Võimaluste suurendamine noorte omaalgatuseks, ühistegevuseks ja osaluseks"/>
    <s v="Noortel on avaramad võimalused arenguks ja eneseteostuseks; eesti keelest erineva emakeelega noored saavad osa noorsootöö võimalustest, mis toetab sidusa ja loova ühiskonna kujunemist"/>
    <m/>
    <m/>
    <x v="0"/>
    <m/>
    <m/>
    <m/>
    <m/>
    <n v="0"/>
    <n v="0"/>
    <n v="0"/>
    <n v="0"/>
    <n v="0"/>
    <n v="0"/>
    <n v="0"/>
    <n v="0"/>
    <n v="0"/>
    <n v="0"/>
    <n v="0"/>
    <n v="0"/>
    <n v="0"/>
    <n v="0"/>
    <n v="0"/>
    <n v="0"/>
    <n v="0"/>
    <n v="0"/>
    <n v="0"/>
    <n v="0"/>
    <n v="0"/>
    <n v="0"/>
    <n v="0"/>
    <n v="0"/>
    <n v="0"/>
    <n v="0"/>
    <n v="0"/>
    <n v="0"/>
    <n v="0"/>
    <n v="0"/>
    <n v="0"/>
    <s v="Tegevuse rahastamine toimub &quot;Noortevaldkonna programmi&quot; kaudu"/>
  </r>
  <r>
    <m/>
    <m/>
    <m/>
    <s v="Organiseeritud osalusvõimaluste arv"/>
    <s v="x"/>
    <s v="x"/>
    <x v="0"/>
    <s v="2013: 80"/>
    <m/>
    <m/>
    <m/>
    <m/>
    <m/>
    <m/>
    <m/>
    <m/>
    <s v="140"/>
    <m/>
    <m/>
    <m/>
    <m/>
    <m/>
    <s v="155"/>
    <m/>
    <m/>
    <m/>
    <m/>
    <m/>
    <s v="170"/>
    <m/>
    <m/>
    <m/>
    <m/>
    <m/>
    <s v="185"/>
    <m/>
    <m/>
    <m/>
    <m/>
    <m/>
    <s v="200"/>
    <m/>
    <m/>
  </r>
  <r>
    <n v="5"/>
    <s v="5.1.1. "/>
    <s v="Noorte omaalgatuse ja ühistegevuse toetamine"/>
    <s v="Noortel (sh eesti keelest erineva emakeelega) on rohkem teadmisi, motivatsiooni ja võimalusi, et enda ja kogu ühiskonna elu arendamiseks tegevusi ellu viia"/>
    <m/>
    <m/>
    <x v="3"/>
    <m/>
    <m/>
    <m/>
    <m/>
    <m/>
    <m/>
    <m/>
    <m/>
    <m/>
    <n v="0"/>
    <m/>
    <m/>
    <m/>
    <m/>
    <m/>
    <n v="0"/>
    <m/>
    <m/>
    <m/>
    <m/>
    <m/>
    <n v="0"/>
    <m/>
    <m/>
    <m/>
    <m/>
    <m/>
    <n v="0"/>
    <m/>
    <m/>
    <m/>
    <m/>
    <m/>
    <n v="0"/>
    <n v="0"/>
    <s v="Tegevuse rahastamine toimub &quot;Noortevaldkonna programmi&quot; kaudu"/>
  </r>
  <r>
    <n v="5"/>
    <s v="5.1.2."/>
    <s v="Mitmekesiste osalusvõimaluste arendamine"/>
    <s v="Noortel on rohkem organiseeritud osalusvõimalusi, sh nendes omavalitsustes, kus valdav elanikkond on eesti keelest erineva emakeelega"/>
    <m/>
    <m/>
    <x v="3"/>
    <m/>
    <m/>
    <m/>
    <m/>
    <m/>
    <m/>
    <m/>
    <m/>
    <m/>
    <n v="0"/>
    <m/>
    <m/>
    <m/>
    <m/>
    <m/>
    <n v="0"/>
    <m/>
    <m/>
    <m/>
    <m/>
    <m/>
    <n v="0"/>
    <m/>
    <m/>
    <m/>
    <m/>
    <m/>
    <n v="0"/>
    <m/>
    <m/>
    <m/>
    <m/>
    <m/>
    <n v="0"/>
    <n v="0"/>
    <s v="Tegevuse rahastamine toimub &quot;Noortevaldkonna programmi&quot; kaudu"/>
  </r>
  <r>
    <n v="5"/>
    <s v="5.1.3."/>
    <s v="Koolitatakse ja nõustatakse noorsootöötajaid"/>
    <s v="Eesti keelest erineva emakeelega noorsootöötajad omavad kättesaadavaid võimalusi enesetäienduseks. Läbi on viidud eesti keelest erineva emakeelega noorsootöötajate osalusel koolitused asjakohaste meetodite kasutamiseks noorsootöös ning tööks erinevate noortega."/>
    <m/>
    <m/>
    <x v="3"/>
    <m/>
    <m/>
    <m/>
    <m/>
    <m/>
    <m/>
    <m/>
    <m/>
    <m/>
    <n v="0"/>
    <m/>
    <m/>
    <m/>
    <m/>
    <m/>
    <n v="0"/>
    <m/>
    <m/>
    <m/>
    <m/>
    <m/>
    <n v="0"/>
    <m/>
    <m/>
    <m/>
    <m/>
    <m/>
    <n v="0"/>
    <m/>
    <m/>
    <m/>
    <m/>
    <m/>
    <n v="0"/>
    <n v="0"/>
    <s v="Tegevuse rahastamine toimub &quot;Noortevaldkonna programmi&quot; kaudu"/>
  </r>
  <r>
    <m/>
    <s v="Eesmärk 6"/>
    <s v="Eesti keelest erineva emakeelega tööealistele elanikele on tagatud võimalused täiendada oma teadmisi ja oskusi konkurentsivõimeliseks osalemiseks tööturul"/>
    <m/>
    <m/>
    <m/>
    <x v="0"/>
    <m/>
    <m/>
    <m/>
    <m/>
    <n v="0"/>
    <n v="0"/>
    <n v="0"/>
    <n v="0"/>
    <n v="0"/>
    <n v="0"/>
    <n v="0"/>
    <n v="0"/>
    <n v="0"/>
    <n v="0"/>
    <n v="0"/>
    <n v="0"/>
    <n v="0"/>
    <n v="0"/>
    <n v="0"/>
    <n v="0"/>
    <n v="0"/>
    <n v="0"/>
    <n v="0"/>
    <n v="0"/>
    <n v="0"/>
    <n v="0"/>
    <n v="0"/>
    <n v="0"/>
    <n v="0"/>
    <n v="0"/>
    <n v="0"/>
    <n v="0"/>
    <n v="0"/>
    <n v="0"/>
    <n v="0"/>
    <m/>
  </r>
  <r>
    <m/>
    <s v="Meede 6.1. "/>
    <s v="Teisest rahvusest elanike tööhõivevõime tõstmine"/>
    <s v="Toetatud on inimeste tööturule sisenemist läbi erinevate koolitus-, teavitus- ja nõustamisteenuste, lähenedes igale inimesele, sõltumata rahvusest või keeleoskusest, individuaalselt, selgitades välja konkreetse töötu vajadused ning väljavaated tööturule sisenemiseks"/>
    <m/>
    <m/>
    <x v="0"/>
    <m/>
    <m/>
    <m/>
    <m/>
    <n v="0"/>
    <n v="0"/>
    <n v="0"/>
    <n v="0"/>
    <n v="0"/>
    <n v="0"/>
    <n v="0"/>
    <n v="0"/>
    <n v="0"/>
    <n v="0"/>
    <n v="0"/>
    <n v="0"/>
    <n v="0"/>
    <n v="0"/>
    <n v="0"/>
    <n v="0"/>
    <n v="0"/>
    <n v="0"/>
    <n v="0"/>
    <n v="0"/>
    <n v="0"/>
    <n v="0"/>
    <n v="0"/>
    <n v="0"/>
    <n v="0"/>
    <n v="0"/>
    <n v="0"/>
    <n v="0"/>
    <n v="0"/>
    <n v="0"/>
    <n v="0"/>
    <s v="Tegevuse elluviimine toimub „Heaolu arengukava 2016–2023“ alaeesmärgi 1 kaudu"/>
  </r>
  <r>
    <m/>
    <m/>
    <m/>
    <s v="Tööturuteenustel osalejate osakaal registreeritud töötute hulgas, kelle põhiline suhtluskeel ei ole eesti keel (keskmiselt kuus)"/>
    <s v="x"/>
    <s v="x"/>
    <x v="0"/>
    <s v="2014: 30,9%"/>
    <m/>
    <m/>
    <m/>
    <m/>
    <m/>
    <m/>
    <m/>
    <m/>
    <s v="38%"/>
    <m/>
    <m/>
    <m/>
    <m/>
    <m/>
    <s v="40%"/>
    <m/>
    <m/>
    <m/>
    <m/>
    <m/>
    <s v="37%"/>
    <m/>
    <m/>
    <m/>
    <m/>
    <m/>
    <s v="35%"/>
    <m/>
    <m/>
    <m/>
    <m/>
    <m/>
    <s v="35%"/>
    <m/>
    <m/>
  </r>
  <r>
    <n v="6"/>
    <s v="6.1.1."/>
    <s v="Tööturuteenuste osutamine"/>
    <s v="Teenuses osalenud isikute arv"/>
    <m/>
    <m/>
    <x v="6"/>
    <m/>
    <m/>
    <m/>
    <m/>
    <m/>
    <m/>
    <m/>
    <m/>
    <m/>
    <n v="0"/>
    <m/>
    <m/>
    <m/>
    <m/>
    <m/>
    <n v="0"/>
    <m/>
    <m/>
    <m/>
    <m/>
    <m/>
    <n v="0"/>
    <m/>
    <m/>
    <m/>
    <m/>
    <m/>
    <n v="0"/>
    <m/>
    <m/>
    <m/>
    <m/>
    <m/>
    <n v="0"/>
    <n v="0"/>
    <s v="Tegevuse elluviimine toimub „Heaolu arengukava 2016–2023“ alaeesmärgi 1 kaudu"/>
  </r>
  <r>
    <n v="6"/>
    <s v="6.1.2."/>
    <s v="Teenuse &quot;Minu esimene töökoht&quot; pakkumine - Noortele vanuses 17-29, kellel puudub või on vähene töökogemus ning puudub erialane haridus (st on alg-, -põhi- või keskharidusega), ja kes on olnud töötukassas 4 kuud töötuna arvel pakutakse teenust &quot;Minu esimene töökoht&quot;."/>
    <s v="Teenuses osalenud isikute arv"/>
    <m/>
    <m/>
    <x v="6"/>
    <m/>
    <m/>
    <m/>
    <m/>
    <m/>
    <m/>
    <m/>
    <m/>
    <m/>
    <n v="0"/>
    <m/>
    <m/>
    <m/>
    <m/>
    <m/>
    <n v="0"/>
    <m/>
    <m/>
    <m/>
    <m/>
    <m/>
    <n v="0"/>
    <m/>
    <m/>
    <m/>
    <m/>
    <m/>
    <n v="0"/>
    <m/>
    <m/>
    <m/>
    <m/>
    <m/>
    <n v="0"/>
    <n v="0"/>
    <s v="Tegevuse elluviimine toimub „Heaolu arengukava 2016–2023“ alaeesmärgi 1 kaudu"/>
  </r>
  <r>
    <n v="6"/>
    <s v="6.1.3."/>
    <s v="Mobiilsustoetuse pakkumine - Inimestele, kes on töötukassas vähemalt 6 kuud töötuna arvel olnud ja võtavad vastu töökoha elukohast kaugemal, makstakse 4 kuu jooksul mobiilsustoetust."/>
    <s v="Teenuses osalenud isikute arv"/>
    <m/>
    <m/>
    <x v="6"/>
    <m/>
    <m/>
    <m/>
    <m/>
    <m/>
    <m/>
    <m/>
    <m/>
    <m/>
    <n v="0"/>
    <m/>
    <m/>
    <m/>
    <m/>
    <m/>
    <n v="0"/>
    <m/>
    <m/>
    <m/>
    <m/>
    <m/>
    <n v="0"/>
    <m/>
    <m/>
    <m/>
    <m/>
    <m/>
    <n v="0"/>
    <m/>
    <m/>
    <m/>
    <m/>
    <m/>
    <n v="0"/>
    <n v="0"/>
    <s v="Tegevuse elluviimine toimub „Heaolu arengukava 2016–2023“ alaeesmärgi 1 kaudu"/>
  </r>
  <r>
    <n v="6"/>
    <s v="6.1.4."/>
    <s v="Täiendavate tööturuteenuste ja töökohta loomise toetuse pakkumine Ida-Virumaa suurkoondamistele reageerimiseks, et aidata töölepiirkonnas töö kaotanud inimesi ja vähendada kõrget regionaalset tööpuudust (tegemist on eritegevusega, mida osutatakse kuni 31.12.2017)."/>
    <s v="Teenuses osalenud isikute arv "/>
    <m/>
    <m/>
    <x v="6"/>
    <m/>
    <m/>
    <m/>
    <m/>
    <m/>
    <m/>
    <m/>
    <m/>
    <m/>
    <n v="0"/>
    <m/>
    <m/>
    <m/>
    <m/>
    <m/>
    <n v="0"/>
    <m/>
    <m/>
    <m/>
    <m/>
    <m/>
    <n v="0"/>
    <m/>
    <m/>
    <m/>
    <m/>
    <m/>
    <n v="0"/>
    <m/>
    <m/>
    <m/>
    <m/>
    <m/>
    <n v="0"/>
    <n v="0"/>
    <s v="Tegevuse elluviimine toimub „Heaolu arengukava 2016-2023“ alaeesmärgi 1 kaudu. Tegevuse rahastamine toimub Euroopa Globaliseerumisfondi vahenditest(taotlus ettevalmistamisel)ja tööhõiveprogrammi eelarvest."/>
  </r>
  <r>
    <m/>
    <s v="Meede 6.2. "/>
    <s v="Eesti keelest erineva emakeelega inimeste riigikeeleoskuse parendamine"/>
    <s v="Loodud on eesti keele õppe kvaliteedi tagamise süsteem, võimalused eesti keelt ebapiisavalt oskavatele inimestele õppes osalemiseks ning kaasaegsete eesti keele omandamiseks vajalikud digitaalsed õppevahendid"/>
    <m/>
    <m/>
    <x v="0"/>
    <m/>
    <m/>
    <m/>
    <m/>
    <n v="0"/>
    <n v="0"/>
    <n v="0"/>
    <n v="0"/>
    <n v="0"/>
    <n v="0"/>
    <n v="0"/>
    <n v="0"/>
    <n v="0"/>
    <n v="0"/>
    <n v="0"/>
    <n v="0"/>
    <n v="0"/>
    <n v="0"/>
    <n v="0"/>
    <n v="0"/>
    <n v="0"/>
    <n v="0"/>
    <n v="0"/>
    <n v="0"/>
    <n v="0"/>
    <n v="0"/>
    <n v="0"/>
    <n v="0"/>
    <n v="0"/>
    <n v="0"/>
    <n v="0"/>
    <n v="0"/>
    <n v="0"/>
    <n v="0"/>
    <n v="0"/>
    <s v="Tegevuse rahastamine toimub Üldharidusprogrammi, Keeleprogrammi ja Eesti Elukestva õppe strateegia digipööre programmi kaudu."/>
  </r>
  <r>
    <m/>
    <m/>
    <m/>
    <s v="Eesti keele tasemeeksami (tasemed A2-C1) sooritanute osakaal eksamil käinutest (%)"/>
    <s v="x"/>
    <s v="x"/>
    <x v="0"/>
    <s v="2014: 51,5%"/>
    <m/>
    <m/>
    <m/>
    <m/>
    <m/>
    <m/>
    <m/>
    <m/>
    <s v="54%"/>
    <m/>
    <m/>
    <m/>
    <m/>
    <m/>
    <s v="54%"/>
    <m/>
    <m/>
    <m/>
    <m/>
    <m/>
    <s v="54%"/>
    <m/>
    <m/>
    <m/>
    <m/>
    <m/>
    <s v="55%"/>
    <m/>
    <m/>
    <m/>
    <m/>
    <m/>
    <s v="55%"/>
    <m/>
    <m/>
  </r>
  <r>
    <n v="6"/>
    <s v="6.2.1."/>
    <s v="Täiskasvanute eesti keele õppe kvaliteeditagamise- ja järelvalvesüsteemi kujundamine"/>
    <s v="1. Loodud on toimiv koolitajate ja koolitusasutuste järelvalvesüsteem_x000a_2. Perioodi lõpuks vastavad täiskasvanute eesti keele koolitajad ja koolitusasutused kehtestatud nõuetele"/>
    <m/>
    <m/>
    <x v="3"/>
    <m/>
    <m/>
    <m/>
    <m/>
    <m/>
    <m/>
    <m/>
    <m/>
    <m/>
    <n v="0"/>
    <m/>
    <m/>
    <m/>
    <m/>
    <m/>
    <n v="0"/>
    <m/>
    <m/>
    <m/>
    <m/>
    <m/>
    <n v="0"/>
    <m/>
    <m/>
    <m/>
    <m/>
    <m/>
    <n v="0"/>
    <m/>
    <m/>
    <m/>
    <m/>
    <m/>
    <n v="0"/>
    <n v="0"/>
    <s v="Tegevuste rahastamine toimub Keeleprogrammi kaudu."/>
  </r>
  <r>
    <n v="6"/>
    <s v="6.2.2."/>
    <s v="Nõrgema konkurentsivõimega eesti keelt ebapiisavalt oskavatele inimestele õppes osalemiseks tingimuste loomine, kus sihtrühmadele pakutakse nende vajadustest lähtuvalt paindlikke eesti keele õppe võimalusi õpivalmiduse ning tööturul konkurentsivõime suurendamiseks"/>
    <s v="1) 70 % eesti keele õppe lõpetanutest tõstab oma keeleoskust  vähemalt ühe taseme võrra _x000a_2) 60 % toetatud eesti keele õppes osalenud täiskasvanutest sooritab keeleeksami"/>
    <m/>
    <m/>
    <x v="3"/>
    <m/>
    <m/>
    <m/>
    <m/>
    <m/>
    <m/>
    <m/>
    <m/>
    <m/>
    <n v="0"/>
    <m/>
    <m/>
    <m/>
    <m/>
    <m/>
    <n v="0"/>
    <m/>
    <m/>
    <m/>
    <m/>
    <m/>
    <n v="0"/>
    <m/>
    <m/>
    <m/>
    <m/>
    <m/>
    <n v="0"/>
    <m/>
    <m/>
    <m/>
    <m/>
    <m/>
    <n v="0"/>
    <n v="0"/>
    <s v="Tegevuse rahastamine toimub Üldharidusprogrammi kaudu. "/>
  </r>
  <r>
    <n v="6"/>
    <s v="6.2.3."/>
    <s v="Tagatakse eesti keele omandamiseks vajaliku digitaalse õppevara olemasolu"/>
    <s v="Kõik eesti keele testitavad tasemed on kaasaegse õppevaraga kaetud"/>
    <m/>
    <m/>
    <x v="3"/>
    <m/>
    <m/>
    <m/>
    <m/>
    <m/>
    <m/>
    <m/>
    <m/>
    <m/>
    <n v="0"/>
    <m/>
    <m/>
    <m/>
    <m/>
    <m/>
    <n v="0"/>
    <m/>
    <m/>
    <m/>
    <m/>
    <m/>
    <n v="0"/>
    <m/>
    <m/>
    <m/>
    <m/>
    <m/>
    <n v="0"/>
    <m/>
    <m/>
    <m/>
    <m/>
    <m/>
    <n v="0"/>
    <n v="0"/>
    <s v="Tegevuse rahastamine toimub Üldharidusprogrammi, Keeleprogrammi ja Eesti Elukestva õppe strateegia digipööre programmi kaudu."/>
  </r>
  <r>
    <m/>
    <m/>
    <s v="Lõimumiskava arendamis- ja administreerimiskulud"/>
    <m/>
    <m/>
    <m/>
    <x v="0"/>
    <m/>
    <m/>
    <m/>
    <m/>
    <n v="615000"/>
    <n v="28513.649999999998"/>
    <n v="161577.35"/>
    <n v="0"/>
    <n v="0"/>
    <n v="805091"/>
    <n v="690000"/>
    <n v="28201.95"/>
    <n v="159811.04999999999"/>
    <n v="0"/>
    <n v="0"/>
    <n v="878013"/>
    <n v="600000"/>
    <n v="24850.95"/>
    <n v="140822.04999999999"/>
    <n v="0"/>
    <n v="0"/>
    <n v="765673"/>
    <n v="600000"/>
    <n v="24847.35"/>
    <n v="140801.65"/>
    <n v="0"/>
    <n v="0"/>
    <n v="765649"/>
    <n v="685000"/>
    <n v="24732.45"/>
    <n v="140150.54999999999"/>
    <n v="0"/>
    <n v="0"/>
    <n v="849883"/>
    <n v="4064309"/>
    <m/>
  </r>
  <r>
    <n v="7"/>
    <s v="7.1."/>
    <s v="Lõimumisvaldkonna uuringute ja arendusprojektide läbiviimine"/>
    <s v="Keskmiselt 3 uuringut ja arendusprojekti aastas läbi viidud "/>
    <n v="20"/>
    <n v="5"/>
    <x v="1"/>
    <m/>
    <m/>
    <m/>
    <s v="KuM"/>
    <n v="25000"/>
    <m/>
    <m/>
    <m/>
    <m/>
    <n v="25000"/>
    <n v="100000"/>
    <m/>
    <m/>
    <m/>
    <m/>
    <n v="100000"/>
    <n v="10000"/>
    <m/>
    <m/>
    <m/>
    <m/>
    <n v="10000"/>
    <n v="10000"/>
    <m/>
    <m/>
    <m/>
    <m/>
    <n v="10000"/>
    <n v="95000"/>
    <m/>
    <m/>
    <m/>
    <m/>
    <n v="95000"/>
    <n v="240000"/>
    <m/>
  </r>
  <r>
    <n v="7"/>
    <s v="7.2."/>
    <s v="SA MISA tegevuskulu"/>
    <s v="Tegevustoetus eraldatud"/>
    <n v="20"/>
    <n v="4"/>
    <x v="1"/>
    <m/>
    <m/>
    <m/>
    <s v="MISA"/>
    <n v="590000"/>
    <m/>
    <m/>
    <m/>
    <m/>
    <n v="590000"/>
    <n v="590000"/>
    <m/>
    <m/>
    <m/>
    <m/>
    <n v="590000"/>
    <n v="590000"/>
    <m/>
    <m/>
    <m/>
    <m/>
    <n v="590000"/>
    <n v="590000"/>
    <m/>
    <m/>
    <m/>
    <m/>
    <n v="590000"/>
    <n v="590000"/>
    <m/>
    <m/>
    <m/>
    <m/>
    <n v="590000"/>
    <n v="2950000"/>
    <s v="Lisaks toetatakse MISA tegevuskulu HTM &quot;Üldharidusprogrammi&quot; kaudu EUR 50 500 aastas, kokku EUR 252 500 perioodil 2016-2020"/>
  </r>
  <r>
    <n v="7"/>
    <s v="7.3."/>
    <s v="ESF lõimumismeetme administreerimiskulud"/>
    <s v="ESF progammi tegevused ellu viidud"/>
    <s v="31/40"/>
    <n v="4"/>
    <x v="1"/>
    <m/>
    <m/>
    <s v="INNOVE"/>
    <s v="MISA"/>
    <m/>
    <n v="28513.649999999998"/>
    <n v="161577.35"/>
    <m/>
    <m/>
    <n v="190091"/>
    <m/>
    <n v="28201.95"/>
    <n v="159811.04999999999"/>
    <m/>
    <m/>
    <n v="188013"/>
    <m/>
    <n v="24850.95"/>
    <n v="140822.04999999999"/>
    <m/>
    <m/>
    <n v="165673"/>
    <m/>
    <n v="24847.35"/>
    <n v="140801.65"/>
    <m/>
    <m/>
    <n v="165649"/>
    <m/>
    <n v="24732.45"/>
    <n v="140150.54999999999"/>
    <m/>
    <m/>
    <n v="164883"/>
    <n v="874309"/>
    <m/>
  </r>
  <r>
    <m/>
    <m/>
    <m/>
    <m/>
    <m/>
    <m/>
    <x v="0"/>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92:I113" firstHeaderRow="0" firstDataRow="1" firstDataCol="1"/>
  <pivotFields count="43">
    <pivotField axis="axisRow" showAll="0">
      <items count="9">
        <item x="1"/>
        <item x="2"/>
        <item x="3"/>
        <item x="4"/>
        <item x="5"/>
        <item x="6"/>
        <item x="7"/>
        <item h="1" x="0"/>
        <item t="default"/>
      </items>
    </pivotField>
    <pivotField showAll="0"/>
    <pivotField showAll="0"/>
    <pivotField showAll="0"/>
    <pivotField showAll="0"/>
    <pivotField showAll="0"/>
    <pivotField axis="axisRow" showAll="0">
      <items count="8">
        <item x="1"/>
        <item x="3"/>
        <item x="4"/>
        <item x="5"/>
        <item x="2"/>
        <item x="6"/>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 dataField="1" showAll="0"/>
    <pivotField showAll="0"/>
  </pivotFields>
  <rowFields count="2">
    <field x="0"/>
    <field x="6"/>
  </rowFields>
  <rowItems count="21">
    <i>
      <x/>
    </i>
    <i r="1">
      <x/>
    </i>
    <i r="1">
      <x v="1"/>
    </i>
    <i r="1">
      <x v="4"/>
    </i>
    <i>
      <x v="1"/>
    </i>
    <i r="1">
      <x/>
    </i>
    <i r="1">
      <x v="2"/>
    </i>
    <i r="1">
      <x v="3"/>
    </i>
    <i r="1">
      <x v="4"/>
    </i>
    <i>
      <x v="2"/>
    </i>
    <i r="1">
      <x v="4"/>
    </i>
    <i>
      <x v="3"/>
    </i>
    <i r="1">
      <x v="1"/>
    </i>
    <i>
      <x v="4"/>
    </i>
    <i r="1">
      <x v="1"/>
    </i>
    <i>
      <x v="5"/>
    </i>
    <i r="1">
      <x v="1"/>
    </i>
    <i r="1">
      <x v="5"/>
    </i>
    <i>
      <x v="6"/>
    </i>
    <i r="1">
      <x/>
    </i>
    <i t="grand">
      <x/>
    </i>
  </rowItems>
  <colFields count="1">
    <field x="-2"/>
  </colFields>
  <colItems count="6">
    <i>
      <x/>
    </i>
    <i i="1">
      <x v="1"/>
    </i>
    <i i="2">
      <x v="2"/>
    </i>
    <i i="3">
      <x v="3"/>
    </i>
    <i i="4">
      <x v="4"/>
    </i>
    <i i="5">
      <x v="5"/>
    </i>
  </colItems>
  <dataFields count="6">
    <dataField name="Sum of 2016" fld="16" baseField="6" baseItem="0"/>
    <dataField name="Sum of 2017" fld="22" baseField="6" baseItem="0"/>
    <dataField name="Sum of 2018" fld="28" baseField="6" baseItem="0"/>
    <dataField name="Sum of 2019" fld="34" baseField="6" baseItem="0"/>
    <dataField name="Sum of 2020" fld="40" baseField="6" baseItem="0"/>
    <dataField name="Sum of Periood kokku" fld="41"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18:Z126" firstHeaderRow="1" firstDataRow="2" firstDataCol="1"/>
  <pivotFields count="42">
    <pivotField showAll="0"/>
    <pivotField showAll="0"/>
    <pivotField showAll="0"/>
    <pivotField showAll="0"/>
    <pivotField showAll="0"/>
    <pivotField axis="axisRow" showAll="0">
      <items count="8">
        <item x="3"/>
        <item x="4"/>
        <item x="1"/>
        <item x="5"/>
        <item x="2"/>
        <item x="6"/>
        <item h="1"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showAll="0"/>
    <pivotField showAll="0"/>
    <pivotField showAll="0"/>
  </pivotFields>
  <rowFields count="1">
    <field x="5"/>
  </rowFields>
  <rowItems count="7">
    <i>
      <x/>
    </i>
    <i>
      <x v="1"/>
    </i>
    <i>
      <x v="2"/>
    </i>
    <i>
      <x v="3"/>
    </i>
    <i>
      <x v="4"/>
    </i>
    <i>
      <x v="5"/>
    </i>
    <i t="grand">
      <x/>
    </i>
  </rowItems>
  <colFields count="1">
    <field x="-2"/>
  </colFields>
  <colItems count="25">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colItems>
  <dataFields count="25">
    <dataField name="Sum of RE 2016" fld="10" baseField="0" baseItem="0"/>
    <dataField name="Sum of KF ESF 2016" fld="11" baseField="0" baseItem="0"/>
    <dataField name="Sum of ESF 2016" fld="12" baseField="0" baseItem="0"/>
    <dataField name="Sum of KF AMIF 2016" fld="13" baseField="0" baseItem="0"/>
    <dataField name="Sum of AMIF 2016" fld="14" baseField="0" baseItem="0"/>
    <dataField name="Sum of RE 2017" fld="16" baseField="0" baseItem="0"/>
    <dataField name="Sum of KF ESF 2017" fld="17" baseField="0" baseItem="0"/>
    <dataField name="Sum of ESF 2017" fld="18" baseField="0" baseItem="0"/>
    <dataField name="Sum of KF AMIF 2017" fld="19" baseField="0" baseItem="0"/>
    <dataField name="Sum of AMIF 2017" fld="20" baseField="0" baseItem="0"/>
    <dataField name="Sum of RE 2018" fld="22" baseField="0" baseItem="0"/>
    <dataField name="Sum of KF ESF 2018" fld="23" baseField="0" baseItem="0"/>
    <dataField name="Sum of ESF 2018" fld="24" baseField="0" baseItem="0"/>
    <dataField name="Sum of KF AMIF 2018" fld="25" baseField="0" baseItem="0"/>
    <dataField name="Sum of AMIF 2018" fld="26" baseField="0" baseItem="0"/>
    <dataField name="Sum of RE 2019" fld="28" baseField="0" baseItem="0"/>
    <dataField name="Sum of KF ESF 2019" fld="29" baseField="0" baseItem="0"/>
    <dataField name="Sum of ESF 2019" fld="30" baseField="0" baseItem="0"/>
    <dataField name="Sum of KF AMIF 2019" fld="31" baseField="0" baseItem="0"/>
    <dataField name="Sum of AMIF 2019" fld="32" baseField="0" baseItem="0"/>
    <dataField name="Sum of RE 2020" fld="34" baseField="0" baseItem="0"/>
    <dataField name="Sum of KF ESF 2020" fld="35" baseField="0" baseItem="0"/>
    <dataField name="Sum of ESF 2020" fld="36" baseField="0" baseItem="0"/>
    <dataField name="Sum of KF AMIF 2020" fld="37" baseField="0" baseItem="0"/>
    <dataField name="Sum of AMIF 2020" fld="38" baseField="0" baseItem="0"/>
  </dataFields>
  <formats count="3">
    <format dxfId="3">
      <pivotArea outline="0" collapsedLevelsAreSubtotals="1" fieldPosition="0"/>
    </format>
    <format dxfId="2">
      <pivotArea type="all" dataOnly="0" outline="0" fieldPosition="0"/>
    </format>
    <format dxfId="1">
      <pivotArea type="all" dataOnly="0" outline="0"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0" firstHeaderRow="1" firstDataRow="1" firstDataCol="1"/>
  <pivotFields count="43">
    <pivotField showAll="0"/>
    <pivotField showAll="0"/>
    <pivotField showAll="0"/>
    <pivotField showAll="0"/>
    <pivotField showAll="0"/>
    <pivotField showAll="0"/>
    <pivotField axis="axisRow" showAll="0">
      <items count="8">
        <item x="3"/>
        <item x="4"/>
        <item x="1"/>
        <item x="5"/>
        <item x="2"/>
        <item x="6"/>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6"/>
  </rowFields>
  <rowItems count="7">
    <i>
      <x/>
    </i>
    <i>
      <x v="1"/>
    </i>
    <i>
      <x v="2"/>
    </i>
    <i>
      <x v="3"/>
    </i>
    <i>
      <x v="4"/>
    </i>
    <i>
      <x v="5"/>
    </i>
    <i t="grand">
      <x/>
    </i>
  </rowItems>
  <colItems count="1">
    <i/>
  </colItems>
  <dataFields count="1">
    <dataField name="Sum of Periood kokku" fld="41" baseField="6" baseItem="0" numFmtId="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Z549"/>
  <sheetViews>
    <sheetView zoomScale="115" zoomScaleNormal="115" workbookViewId="0">
      <pane xSplit="1" ySplit="1" topLeftCell="B54" activePane="bottomRight" state="frozen"/>
      <selection pane="topRight" activeCell="B1" sqref="B1"/>
      <selection pane="bottomLeft" activeCell="A2" sqref="A2"/>
      <selection pane="bottomRight" activeCell="E60" sqref="E60"/>
    </sheetView>
  </sheetViews>
  <sheetFormatPr defaultColWidth="9.140625" defaultRowHeight="409.6" customHeight="1" outlineLevelRow="1"/>
  <cols>
    <col min="1" max="1" width="10.7109375" style="25" customWidth="1"/>
    <col min="2" max="2" width="32.7109375" style="25" customWidth="1"/>
    <col min="3" max="3" width="13.140625" style="25" customWidth="1"/>
    <col min="4" max="5" width="13.42578125" style="25" customWidth="1"/>
    <col min="6" max="6" width="12.28515625" style="25" customWidth="1"/>
    <col min="7" max="7" width="12.140625" style="25" customWidth="1"/>
    <col min="8" max="8" width="13.42578125" style="25" customWidth="1"/>
    <col min="9" max="9" width="20.5703125" style="25" customWidth="1"/>
    <col min="10" max="10" width="15.140625" style="25" customWidth="1"/>
    <col min="11" max="11" width="13.85546875" style="25" customWidth="1"/>
    <col min="12" max="13" width="12.5703125" style="25" customWidth="1"/>
    <col min="14" max="15" width="11.5703125" style="25" customWidth="1"/>
    <col min="16" max="16" width="12.5703125" style="25" customWidth="1"/>
    <col min="17" max="17" width="20.5703125" style="25" customWidth="1"/>
    <col min="18" max="18" width="14.28515625" style="25" customWidth="1"/>
    <col min="19" max="19" width="11.85546875" style="25" customWidth="1"/>
    <col min="20" max="20" width="15.140625" style="25" customWidth="1"/>
    <col min="21" max="21" width="12.85546875" style="25" customWidth="1"/>
    <col min="22" max="22" width="11.140625" style="25" customWidth="1"/>
    <col min="23" max="23" width="14.28515625" style="25" customWidth="1"/>
    <col min="24" max="24" width="11.85546875" style="25" customWidth="1"/>
    <col min="25" max="25" width="15.140625" style="25" customWidth="1"/>
    <col min="26" max="26" width="12.85546875" style="25" customWidth="1"/>
    <col min="27" max="258" width="9.140625" style="25"/>
    <col min="259" max="259" width="76" style="25" customWidth="1"/>
    <col min="260" max="265" width="9" style="25" customWidth="1"/>
    <col min="266" max="514" width="9.140625" style="25"/>
    <col min="515" max="515" width="76" style="25" customWidth="1"/>
    <col min="516" max="521" width="9" style="25" customWidth="1"/>
    <col min="522" max="770" width="9.140625" style="25"/>
    <col min="771" max="771" width="76" style="25" customWidth="1"/>
    <col min="772" max="777" width="9" style="25" customWidth="1"/>
    <col min="778" max="1026" width="9.140625" style="25"/>
    <col min="1027" max="1027" width="76" style="25" customWidth="1"/>
    <col min="1028" max="1033" width="9" style="25" customWidth="1"/>
    <col min="1034" max="1282" width="9.140625" style="25"/>
    <col min="1283" max="1283" width="76" style="25" customWidth="1"/>
    <col min="1284" max="1289" width="9" style="25" customWidth="1"/>
    <col min="1290" max="1538" width="9.140625" style="25"/>
    <col min="1539" max="1539" width="76" style="25" customWidth="1"/>
    <col min="1540" max="1545" width="9" style="25" customWidth="1"/>
    <col min="1546" max="1794" width="9.140625" style="25"/>
    <col min="1795" max="1795" width="76" style="25" customWidth="1"/>
    <col min="1796" max="1801" width="9" style="25" customWidth="1"/>
    <col min="1802" max="2050" width="9.140625" style="25"/>
    <col min="2051" max="2051" width="76" style="25" customWidth="1"/>
    <col min="2052" max="2057" width="9" style="25" customWidth="1"/>
    <col min="2058" max="2306" width="9.140625" style="25"/>
    <col min="2307" max="2307" width="76" style="25" customWidth="1"/>
    <col min="2308" max="2313" width="9" style="25" customWidth="1"/>
    <col min="2314" max="2562" width="9.140625" style="25"/>
    <col min="2563" max="2563" width="76" style="25" customWidth="1"/>
    <col min="2564" max="2569" width="9" style="25" customWidth="1"/>
    <col min="2570" max="2818" width="9.140625" style="25"/>
    <col min="2819" max="2819" width="76" style="25" customWidth="1"/>
    <col min="2820" max="2825" width="9" style="25" customWidth="1"/>
    <col min="2826" max="3074" width="9.140625" style="25"/>
    <col min="3075" max="3075" width="76" style="25" customWidth="1"/>
    <col min="3076" max="3081" width="9" style="25" customWidth="1"/>
    <col min="3082" max="3330" width="9.140625" style="25"/>
    <col min="3331" max="3331" width="76" style="25" customWidth="1"/>
    <col min="3332" max="3337" width="9" style="25" customWidth="1"/>
    <col min="3338" max="3586" width="9.140625" style="25"/>
    <col min="3587" max="3587" width="76" style="25" customWidth="1"/>
    <col min="3588" max="3593" width="9" style="25" customWidth="1"/>
    <col min="3594" max="3842" width="9.140625" style="25"/>
    <col min="3843" max="3843" width="76" style="25" customWidth="1"/>
    <col min="3844" max="3849" width="9" style="25" customWidth="1"/>
    <col min="3850" max="4098" width="9.140625" style="25"/>
    <col min="4099" max="4099" width="76" style="25" customWidth="1"/>
    <col min="4100" max="4105" width="9" style="25" customWidth="1"/>
    <col min="4106" max="4354" width="9.140625" style="25"/>
    <col min="4355" max="4355" width="76" style="25" customWidth="1"/>
    <col min="4356" max="4361" width="9" style="25" customWidth="1"/>
    <col min="4362" max="4610" width="9.140625" style="25"/>
    <col min="4611" max="4611" width="76" style="25" customWidth="1"/>
    <col min="4612" max="4617" width="9" style="25" customWidth="1"/>
    <col min="4618" max="4866" width="9.140625" style="25"/>
    <col min="4867" max="4867" width="76" style="25" customWidth="1"/>
    <col min="4868" max="4873" width="9" style="25" customWidth="1"/>
    <col min="4874" max="5122" width="9.140625" style="25"/>
    <col min="5123" max="5123" width="76" style="25" customWidth="1"/>
    <col min="5124" max="5129" width="9" style="25" customWidth="1"/>
    <col min="5130" max="5378" width="9.140625" style="25"/>
    <col min="5379" max="5379" width="76" style="25" customWidth="1"/>
    <col min="5380" max="5385" width="9" style="25" customWidth="1"/>
    <col min="5386" max="5634" width="9.140625" style="25"/>
    <col min="5635" max="5635" width="76" style="25" customWidth="1"/>
    <col min="5636" max="5641" width="9" style="25" customWidth="1"/>
    <col min="5642" max="5890" width="9.140625" style="25"/>
    <col min="5891" max="5891" width="76" style="25" customWidth="1"/>
    <col min="5892" max="5897" width="9" style="25" customWidth="1"/>
    <col min="5898" max="6146" width="9.140625" style="25"/>
    <col min="6147" max="6147" width="76" style="25" customWidth="1"/>
    <col min="6148" max="6153" width="9" style="25" customWidth="1"/>
    <col min="6154" max="6402" width="9.140625" style="25"/>
    <col min="6403" max="6403" width="76" style="25" customWidth="1"/>
    <col min="6404" max="6409" width="9" style="25" customWidth="1"/>
    <col min="6410" max="6658" width="9.140625" style="25"/>
    <col min="6659" max="6659" width="76" style="25" customWidth="1"/>
    <col min="6660" max="6665" width="9" style="25" customWidth="1"/>
    <col min="6666" max="6914" width="9.140625" style="25"/>
    <col min="6915" max="6915" width="76" style="25" customWidth="1"/>
    <col min="6916" max="6921" width="9" style="25" customWidth="1"/>
    <col min="6922" max="7170" width="9.140625" style="25"/>
    <col min="7171" max="7171" width="76" style="25" customWidth="1"/>
    <col min="7172" max="7177" width="9" style="25" customWidth="1"/>
    <col min="7178" max="7426" width="9.140625" style="25"/>
    <col min="7427" max="7427" width="76" style="25" customWidth="1"/>
    <col min="7428" max="7433" width="9" style="25" customWidth="1"/>
    <col min="7434" max="7682" width="9.140625" style="25"/>
    <col min="7683" max="7683" width="76" style="25" customWidth="1"/>
    <col min="7684" max="7689" width="9" style="25" customWidth="1"/>
    <col min="7690" max="7938" width="9.140625" style="25"/>
    <col min="7939" max="7939" width="76" style="25" customWidth="1"/>
    <col min="7940" max="7945" width="9" style="25" customWidth="1"/>
    <col min="7946" max="8194" width="9.140625" style="25"/>
    <col min="8195" max="8195" width="76" style="25" customWidth="1"/>
    <col min="8196" max="8201" width="9" style="25" customWidth="1"/>
    <col min="8202" max="8450" width="9.140625" style="25"/>
    <col min="8451" max="8451" width="76" style="25" customWidth="1"/>
    <col min="8452" max="8457" width="9" style="25" customWidth="1"/>
    <col min="8458" max="8706" width="9.140625" style="25"/>
    <col min="8707" max="8707" width="76" style="25" customWidth="1"/>
    <col min="8708" max="8713" width="9" style="25" customWidth="1"/>
    <col min="8714" max="8962" width="9.140625" style="25"/>
    <col min="8963" max="8963" width="76" style="25" customWidth="1"/>
    <col min="8964" max="8969" width="9" style="25" customWidth="1"/>
    <col min="8970" max="9218" width="9.140625" style="25"/>
    <col min="9219" max="9219" width="76" style="25" customWidth="1"/>
    <col min="9220" max="9225" width="9" style="25" customWidth="1"/>
    <col min="9226" max="9474" width="9.140625" style="25"/>
    <col min="9475" max="9475" width="76" style="25" customWidth="1"/>
    <col min="9476" max="9481" width="9" style="25" customWidth="1"/>
    <col min="9482" max="9730" width="9.140625" style="25"/>
    <col min="9731" max="9731" width="76" style="25" customWidth="1"/>
    <col min="9732" max="9737" width="9" style="25" customWidth="1"/>
    <col min="9738" max="9986" width="9.140625" style="25"/>
    <col min="9987" max="9987" width="76" style="25" customWidth="1"/>
    <col min="9988" max="9993" width="9" style="25" customWidth="1"/>
    <col min="9994" max="10242" width="9.140625" style="25"/>
    <col min="10243" max="10243" width="76" style="25" customWidth="1"/>
    <col min="10244" max="10249" width="9" style="25" customWidth="1"/>
    <col min="10250" max="10498" width="9.140625" style="25"/>
    <col min="10499" max="10499" width="76" style="25" customWidth="1"/>
    <col min="10500" max="10505" width="9" style="25" customWidth="1"/>
    <col min="10506" max="10754" width="9.140625" style="25"/>
    <col min="10755" max="10755" width="76" style="25" customWidth="1"/>
    <col min="10756" max="10761" width="9" style="25" customWidth="1"/>
    <col min="10762" max="11010" width="9.140625" style="25"/>
    <col min="11011" max="11011" width="76" style="25" customWidth="1"/>
    <col min="11012" max="11017" width="9" style="25" customWidth="1"/>
    <col min="11018" max="11266" width="9.140625" style="25"/>
    <col min="11267" max="11267" width="76" style="25" customWidth="1"/>
    <col min="11268" max="11273" width="9" style="25" customWidth="1"/>
    <col min="11274" max="11522" width="9.140625" style="25"/>
    <col min="11523" max="11523" width="76" style="25" customWidth="1"/>
    <col min="11524" max="11529" width="9" style="25" customWidth="1"/>
    <col min="11530" max="11778" width="9.140625" style="25"/>
    <col min="11779" max="11779" width="76" style="25" customWidth="1"/>
    <col min="11780" max="11785" width="9" style="25" customWidth="1"/>
    <col min="11786" max="12034" width="9.140625" style="25"/>
    <col min="12035" max="12035" width="76" style="25" customWidth="1"/>
    <col min="12036" max="12041" width="9" style="25" customWidth="1"/>
    <col min="12042" max="12290" width="9.140625" style="25"/>
    <col min="12291" max="12291" width="76" style="25" customWidth="1"/>
    <col min="12292" max="12297" width="9" style="25" customWidth="1"/>
    <col min="12298" max="12546" width="9.140625" style="25"/>
    <col min="12547" max="12547" width="76" style="25" customWidth="1"/>
    <col min="12548" max="12553" width="9" style="25" customWidth="1"/>
    <col min="12554" max="12802" width="9.140625" style="25"/>
    <col min="12803" max="12803" width="76" style="25" customWidth="1"/>
    <col min="12804" max="12809" width="9" style="25" customWidth="1"/>
    <col min="12810" max="13058" width="9.140625" style="25"/>
    <col min="13059" max="13059" width="76" style="25" customWidth="1"/>
    <col min="13060" max="13065" width="9" style="25" customWidth="1"/>
    <col min="13066" max="13314" width="9.140625" style="25"/>
    <col min="13315" max="13315" width="76" style="25" customWidth="1"/>
    <col min="13316" max="13321" width="9" style="25" customWidth="1"/>
    <col min="13322" max="13570" width="9.140625" style="25"/>
    <col min="13571" max="13571" width="76" style="25" customWidth="1"/>
    <col min="13572" max="13577" width="9" style="25" customWidth="1"/>
    <col min="13578" max="13826" width="9.140625" style="25"/>
    <col min="13827" max="13827" width="76" style="25" customWidth="1"/>
    <col min="13828" max="13833" width="9" style="25" customWidth="1"/>
    <col min="13834" max="14082" width="9.140625" style="25"/>
    <col min="14083" max="14083" width="76" style="25" customWidth="1"/>
    <col min="14084" max="14089" width="9" style="25" customWidth="1"/>
    <col min="14090" max="14338" width="9.140625" style="25"/>
    <col min="14339" max="14339" width="76" style="25" customWidth="1"/>
    <col min="14340" max="14345" width="9" style="25" customWidth="1"/>
    <col min="14346" max="14594" width="9.140625" style="25"/>
    <col min="14595" max="14595" width="76" style="25" customWidth="1"/>
    <col min="14596" max="14601" width="9" style="25" customWidth="1"/>
    <col min="14602" max="14850" width="9.140625" style="25"/>
    <col min="14851" max="14851" width="76" style="25" customWidth="1"/>
    <col min="14852" max="14857" width="9" style="25" customWidth="1"/>
    <col min="14858" max="15106" width="9.140625" style="25"/>
    <col min="15107" max="15107" width="76" style="25" customWidth="1"/>
    <col min="15108" max="15113" width="9" style="25" customWidth="1"/>
    <col min="15114" max="15362" width="9.140625" style="25"/>
    <col min="15363" max="15363" width="76" style="25" customWidth="1"/>
    <col min="15364" max="15369" width="9" style="25" customWidth="1"/>
    <col min="15370" max="15618" width="9.140625" style="25"/>
    <col min="15619" max="15619" width="76" style="25" customWidth="1"/>
    <col min="15620" max="15625" width="9" style="25" customWidth="1"/>
    <col min="15626" max="15874" width="9.140625" style="25"/>
    <col min="15875" max="15875" width="76" style="25" customWidth="1"/>
    <col min="15876" max="15881" width="9" style="25" customWidth="1"/>
    <col min="15882" max="16130" width="9.140625" style="25"/>
    <col min="16131" max="16131" width="76" style="25" customWidth="1"/>
    <col min="16132" max="16137" width="9" style="25" customWidth="1"/>
    <col min="16138" max="16384" width="9.140625" style="25"/>
  </cols>
  <sheetData>
    <row r="1" spans="1:9" ht="12.75">
      <c r="A1" s="157" t="s">
        <v>0</v>
      </c>
      <c r="B1" s="157"/>
      <c r="C1" s="115" t="s">
        <v>1</v>
      </c>
      <c r="D1" s="115">
        <v>2016</v>
      </c>
      <c r="E1" s="115">
        <v>2017</v>
      </c>
      <c r="F1" s="115">
        <v>2018</v>
      </c>
      <c r="G1" s="115">
        <v>2019</v>
      </c>
      <c r="H1" s="115">
        <v>2020</v>
      </c>
      <c r="I1" s="115" t="s">
        <v>2</v>
      </c>
    </row>
    <row r="2" spans="1:9" ht="25.5">
      <c r="A2" s="63" t="str">
        <f>'rakendusplaan 2016-2020'!B3</f>
        <v>Alaeesmärk 1</v>
      </c>
      <c r="B2" s="12" t="str">
        <f>'rakendusplaan 2016-2020'!C3</f>
        <v xml:space="preserve">Lõimumist toetavad hoiakud ja väärtused on Eesti ühiskonnas kinnistunud </v>
      </c>
      <c r="C2" s="3"/>
      <c r="D2" s="64">
        <f>'rakendusplaan 2016-2020'!Q3</f>
        <v>7718492</v>
      </c>
      <c r="E2" s="64">
        <f>'rakendusplaan 2016-2020'!W3</f>
        <v>7183061</v>
      </c>
      <c r="F2" s="64">
        <f>'rakendusplaan 2016-2020'!AC3</f>
        <v>7169061</v>
      </c>
      <c r="G2" s="64">
        <f>'rakendusplaan 2016-2020'!AI3</f>
        <v>7154061</v>
      </c>
      <c r="H2" s="64">
        <f>'rakendusplaan 2016-2020'!AO3</f>
        <v>7103728</v>
      </c>
      <c r="I2" s="64">
        <f>SUM(D2:H2)</f>
        <v>36328403</v>
      </c>
    </row>
    <row r="3" spans="1:9" ht="12.75">
      <c r="A3" s="7"/>
      <c r="B3" s="3" t="s">
        <v>3</v>
      </c>
      <c r="C3" s="3"/>
      <c r="D3" s="34">
        <f t="shared" ref="D3:H5" si="0">D94</f>
        <v>7393992</v>
      </c>
      <c r="E3" s="34">
        <f t="shared" si="0"/>
        <v>6878561</v>
      </c>
      <c r="F3" s="34">
        <f t="shared" si="0"/>
        <v>6864561</v>
      </c>
      <c r="G3" s="34">
        <f t="shared" si="0"/>
        <v>6849561</v>
      </c>
      <c r="H3" s="34">
        <f t="shared" si="0"/>
        <v>6837226</v>
      </c>
      <c r="I3" s="34">
        <f t="shared" ref="I3:I7" si="1">SUM(D3:H3)</f>
        <v>34823901</v>
      </c>
    </row>
    <row r="4" spans="1:9" ht="12.75">
      <c r="A4" s="7"/>
      <c r="B4" s="3" t="s">
        <v>4</v>
      </c>
      <c r="C4" s="3"/>
      <c r="D4" s="34">
        <f t="shared" si="0"/>
        <v>159500</v>
      </c>
      <c r="E4" s="34">
        <f t="shared" si="0"/>
        <v>159500</v>
      </c>
      <c r="F4" s="34">
        <f t="shared" si="0"/>
        <v>159500</v>
      </c>
      <c r="G4" s="34">
        <f t="shared" si="0"/>
        <v>159500</v>
      </c>
      <c r="H4" s="34">
        <f t="shared" si="0"/>
        <v>159500</v>
      </c>
      <c r="I4" s="34">
        <f t="shared" si="1"/>
        <v>797500</v>
      </c>
    </row>
    <row r="5" spans="1:9" ht="12.75">
      <c r="A5" s="7"/>
      <c r="B5" s="3" t="s">
        <v>5</v>
      </c>
      <c r="C5" s="3"/>
      <c r="D5" s="34">
        <f t="shared" si="0"/>
        <v>165000</v>
      </c>
      <c r="E5" s="34">
        <f t="shared" si="0"/>
        <v>145000</v>
      </c>
      <c r="F5" s="34">
        <f t="shared" si="0"/>
        <v>145000</v>
      </c>
      <c r="G5" s="34">
        <f t="shared" si="0"/>
        <v>145000</v>
      </c>
      <c r="H5" s="34">
        <f t="shared" si="0"/>
        <v>107002</v>
      </c>
      <c r="I5" s="34">
        <f t="shared" si="1"/>
        <v>707002</v>
      </c>
    </row>
    <row r="6" spans="1:9" ht="12.75">
      <c r="A6" s="7"/>
      <c r="B6" s="3" t="s">
        <v>6</v>
      </c>
      <c r="C6" s="3"/>
      <c r="D6" s="34">
        <v>0</v>
      </c>
      <c r="E6" s="34">
        <v>0</v>
      </c>
      <c r="F6" s="34">
        <v>0</v>
      </c>
      <c r="G6" s="34">
        <v>0</v>
      </c>
      <c r="H6" s="34">
        <v>0</v>
      </c>
      <c r="I6" s="34">
        <f t="shared" si="1"/>
        <v>0</v>
      </c>
    </row>
    <row r="7" spans="1:9" ht="12.75">
      <c r="A7" s="7"/>
      <c r="B7" s="3" t="s">
        <v>7</v>
      </c>
      <c r="C7" s="3"/>
      <c r="D7" s="34">
        <v>0</v>
      </c>
      <c r="E7" s="34">
        <v>0</v>
      </c>
      <c r="F7" s="34">
        <v>0</v>
      </c>
      <c r="G7" s="34">
        <v>0</v>
      </c>
      <c r="H7" s="34">
        <v>0</v>
      </c>
      <c r="I7" s="34">
        <f t="shared" si="1"/>
        <v>0</v>
      </c>
    </row>
    <row r="8" spans="1:9" ht="38.25">
      <c r="A8" s="7" t="s">
        <v>8</v>
      </c>
      <c r="B8" s="3" t="s">
        <v>9</v>
      </c>
      <c r="C8" s="3" t="s">
        <v>10</v>
      </c>
      <c r="D8" s="34"/>
      <c r="E8" s="34"/>
      <c r="F8" s="34"/>
      <c r="G8" s="34"/>
      <c r="H8" s="65" t="s">
        <v>385</v>
      </c>
      <c r="I8" s="34"/>
    </row>
    <row r="9" spans="1:9" ht="89.25">
      <c r="A9" s="7" t="s">
        <v>11</v>
      </c>
      <c r="B9" s="3" t="s">
        <v>12</v>
      </c>
      <c r="C9" s="3" t="s">
        <v>386</v>
      </c>
      <c r="D9" s="34"/>
      <c r="E9" s="34"/>
      <c r="F9" s="34"/>
      <c r="G9" s="34"/>
      <c r="H9" s="65" t="s">
        <v>387</v>
      </c>
      <c r="I9" s="34"/>
    </row>
    <row r="10" spans="1:9" ht="38.25">
      <c r="A10" s="7" t="s">
        <v>13</v>
      </c>
      <c r="B10" s="3" t="s">
        <v>14</v>
      </c>
      <c r="C10" s="3" t="s">
        <v>15</v>
      </c>
      <c r="D10" s="34"/>
      <c r="E10" s="34"/>
      <c r="F10" s="34"/>
      <c r="G10" s="34"/>
      <c r="H10" s="65" t="s">
        <v>16</v>
      </c>
      <c r="I10" s="34"/>
    </row>
    <row r="11" spans="1:9" ht="25.5" hidden="1" outlineLevel="1">
      <c r="A11" s="66" t="str">
        <f>'rakendusplaan 2016-2020'!B4</f>
        <v>Meede 1.1.</v>
      </c>
      <c r="B11" s="60" t="str">
        <f>'rakendusplaan 2016-2020'!C4</f>
        <v>Ühise inforuumi ja kultuurilisest mitmekesisusest teadlikkuse toetamine</v>
      </c>
      <c r="C11" s="3"/>
      <c r="D11" s="34">
        <f>'rakendusplaan 2016-2020'!Q4</f>
        <v>6912202</v>
      </c>
      <c r="E11" s="34">
        <f>'rakendusplaan 2016-2020'!W4</f>
        <v>6356984</v>
      </c>
      <c r="F11" s="34">
        <f>'rakendusplaan 2016-2020'!AC4</f>
        <v>6341984</v>
      </c>
      <c r="G11" s="34">
        <f>'rakendusplaan 2016-2020'!AI4</f>
        <v>6341984</v>
      </c>
      <c r="H11" s="34">
        <f>'rakendusplaan 2016-2020'!AO4</f>
        <v>6311984</v>
      </c>
      <c r="I11" s="34">
        <f>SUM(D11:H11)</f>
        <v>32265138</v>
      </c>
    </row>
    <row r="12" spans="1:9" ht="25.5" hidden="1" outlineLevel="1">
      <c r="A12" s="66" t="str">
        <f>'rakendusplaan 2016-2020'!B14</f>
        <v>Meede 1.2.</v>
      </c>
      <c r="B12" s="60" t="str">
        <f>'rakendusplaan 2016-2020'!C14</f>
        <v>Igapäevaste kontaktide, suhtluse ja kaasamise toetamine ühiskonnas</v>
      </c>
      <c r="C12" s="3"/>
      <c r="D12" s="34">
        <f>'rakendusplaan 2016-2020'!Q14</f>
        <v>226569</v>
      </c>
      <c r="E12" s="34">
        <f>'rakendusplaan 2016-2020'!W14</f>
        <v>183577</v>
      </c>
      <c r="F12" s="34">
        <f>'rakendusplaan 2016-2020'!AC14</f>
        <v>184577</v>
      </c>
      <c r="G12" s="34">
        <f>'rakendusplaan 2016-2020'!AI14</f>
        <v>169577</v>
      </c>
      <c r="H12" s="34">
        <f>'rakendusplaan 2016-2020'!AO14</f>
        <v>149244</v>
      </c>
      <c r="I12" s="34">
        <f>SUM(D12:H12)</f>
        <v>913544</v>
      </c>
    </row>
    <row r="13" spans="1:9" ht="25.5" hidden="1" outlineLevel="1">
      <c r="A13" s="66" t="str">
        <f>'rakendusplaan 2016-2020'!B22</f>
        <v>Meede 1.3.</v>
      </c>
      <c r="B13" s="60" t="str">
        <f>'rakendusplaan 2016-2020'!C22</f>
        <v>Etniliste vähemuste emakeele ja kultuuri toetamine</v>
      </c>
      <c r="C13" s="3"/>
      <c r="D13" s="34">
        <f>'rakendusplaan 2016-2020'!Q22</f>
        <v>579721</v>
      </c>
      <c r="E13" s="34">
        <f>'rakendusplaan 2016-2020'!W22</f>
        <v>642500</v>
      </c>
      <c r="F13" s="34">
        <f>'rakendusplaan 2016-2020'!AC22</f>
        <v>642500</v>
      </c>
      <c r="G13" s="34">
        <f>'rakendusplaan 2016-2020'!AI22</f>
        <v>642500</v>
      </c>
      <c r="H13" s="34">
        <f>'rakendusplaan 2016-2020'!AO22</f>
        <v>642500</v>
      </c>
      <c r="I13" s="34">
        <f>SUM(D13:H13)</f>
        <v>3149721</v>
      </c>
    </row>
    <row r="14" spans="1:9" ht="25.5" hidden="1" outlineLevel="1">
      <c r="A14" s="66" t="s">
        <v>17</v>
      </c>
      <c r="B14" s="60" t="str">
        <f>'rakendusplaan 2016-2020'!D5</f>
        <v>Kommunikatsioonitegevustesse hõlmatud inimeste arv</v>
      </c>
      <c r="C14" s="3" t="str">
        <f>'rakendusplaan 2016-2020'!H5</f>
        <v>2014: 0 in</v>
      </c>
      <c r="D14" s="35"/>
      <c r="E14" s="35"/>
      <c r="F14" s="35"/>
      <c r="G14" s="35"/>
      <c r="H14" s="67" t="str">
        <f>'rakendusplaan 2016-2020'!AO5</f>
        <v>150 000 in</v>
      </c>
      <c r="I14" s="34"/>
    </row>
    <row r="15" spans="1:9" ht="38.25" hidden="1" outlineLevel="1">
      <c r="A15" s="66" t="s">
        <v>18</v>
      </c>
      <c r="B15" s="60" t="str">
        <f>'rakendusplaan 2016-2020'!D6</f>
        <v>Positiivse kultuurihoiakuga inimeste osakaal eestlaste ja teiste rahvuste seas</v>
      </c>
      <c r="C15" s="3" t="str">
        <f>'rakendusplaan 2016-2020'!H6</f>
        <v>2015: eestlased - 61%; teised rahvused - 82%</v>
      </c>
      <c r="D15" s="35"/>
      <c r="E15" s="35"/>
      <c r="F15" s="35"/>
      <c r="G15" s="35"/>
      <c r="H15" s="67" t="str">
        <f>'rakendusplaan 2016-2020'!AO6</f>
        <v>eestlased - 63%; teised rahvused - 84%</v>
      </c>
      <c r="I15" s="34"/>
    </row>
    <row r="16" spans="1:9" ht="76.5" hidden="1" outlineLevel="1">
      <c r="A16" s="66" t="s">
        <v>19</v>
      </c>
      <c r="B16" s="60" t="str">
        <f>'rakendusplaan 2016-2020'!D7</f>
        <v xml:space="preserve">ERR-i tele- ja raadioprogrammide jälgitavus muu emakeelega inimeste hulgas. Teisest rahvusest inimeste osakaal, kes peavad ERR-i tele- ja raadioprogramme oluliseks infoallikaks.
</v>
      </c>
      <c r="C16" s="3" t="str">
        <f>'rakendusplaan 2016-2020'!H7</f>
        <v xml:space="preserve">8,8% (tele-kanalid); 43,7% (raadio-kanalid); 76% (peab oluliseks)
</v>
      </c>
      <c r="D16" s="35"/>
      <c r="E16" s="35"/>
      <c r="F16" s="35"/>
      <c r="G16" s="35"/>
      <c r="H16" s="68" t="str">
        <f>'rakendusplaan 2016-2020'!AO7</f>
        <v>11% (telekanalid); 47 % (raadiokanalid); 82% (peab oluliseks)</v>
      </c>
      <c r="I16" s="34"/>
    </row>
    <row r="17" spans="1:17" ht="25.5" hidden="1" outlineLevel="1">
      <c r="A17" s="66" t="s">
        <v>20</v>
      </c>
      <c r="B17" s="60" t="str">
        <f>'rakendusplaan 2016-2020'!D15</f>
        <v>Projektidesse kaasatud inimeste arv</v>
      </c>
      <c r="C17" s="3" t="str">
        <f>'rakendusplaan 2016-2020'!H15</f>
        <v>2014: 0 in</v>
      </c>
      <c r="D17" s="35"/>
      <c r="E17" s="35"/>
      <c r="F17" s="35"/>
      <c r="G17" s="35"/>
      <c r="H17" s="67" t="str">
        <f>'rakendusplaan 2016-2020'!AO15</f>
        <v>7 000 in</v>
      </c>
      <c r="I17" s="64"/>
    </row>
    <row r="18" spans="1:17" ht="76.5" hidden="1" outlineLevel="1">
      <c r="A18" s="66" t="s">
        <v>21</v>
      </c>
      <c r="B18" s="60" t="str">
        <f>'rakendusplaan 2016-2020'!D16</f>
        <v>Püsikontaktide tiheduse kasv tegevustes osalenud eestlaste ja teistest rahvustest isikute vahel võrreldes tegevusteeelse perioodiga</v>
      </c>
      <c r="C18" s="3" t="str">
        <f>'rakendusplaan 2016-2020'!H16</f>
        <v>2015: eestlased - 3; teised rahvused - 3,36</v>
      </c>
      <c r="D18" s="35"/>
      <c r="E18" s="35"/>
      <c r="F18" s="35"/>
      <c r="G18" s="35"/>
      <c r="H18" s="67" t="str">
        <f>'rakendusplaan 2016-2020'!AO16</f>
        <v>Eestlased - 3,5; teised rahvused - 4  (keskmine rahvustevaheliste suhtlemisvõrgustike arv)</v>
      </c>
      <c r="I18" s="64"/>
    </row>
    <row r="19" spans="1:17" ht="63.75" hidden="1" outlineLevel="1">
      <c r="A19" s="66" t="s">
        <v>22</v>
      </c>
      <c r="B19" s="60" t="str">
        <f>'rakendusplaan 2016-2020'!D23</f>
        <v>Toetatud katusorganisatsioonide ja nende allliikmetest rahvusvähemuste kultuuriseltside arv</v>
      </c>
      <c r="C19" s="65" t="str">
        <f>'rakendusplaan 2016-2020'!H23</f>
        <v xml:space="preserve">2015: 16 katus-organisa-tsiooni ja 231  rahvusvähemuste kultuuri-seltsi </v>
      </c>
      <c r="D19" s="69"/>
      <c r="E19" s="69"/>
      <c r="F19" s="69"/>
      <c r="G19" s="69"/>
      <c r="H19" s="68" t="str">
        <f>'rakendusplaan 2016-2020'!AO23</f>
        <v xml:space="preserve">17 katus-organisa-tsiooni ja 240  rahvus-vähemuste kultuuri-seltsi </v>
      </c>
      <c r="I19" s="64"/>
    </row>
    <row r="20" spans="1:17" ht="51" hidden="1" outlineLevel="1">
      <c r="A20" s="66" t="s">
        <v>23</v>
      </c>
      <c r="B20" s="60" t="str">
        <f>'rakendusplaan 2016-2020'!D24</f>
        <v>Tegevustes osalenud teisest rahvusest isikute teadlikkus oma etnilisest identiteedist (emakeeleoskus, rahvuskultuuri tundmine, valmisolek neid rohkem tundma õppida)</v>
      </c>
      <c r="C20" s="65" t="str">
        <f>'rakendusplaan 2016-2020'!H24</f>
        <v>määratletakse 2016. a</v>
      </c>
      <c r="D20" s="69"/>
      <c r="E20" s="69"/>
      <c r="F20" s="69"/>
      <c r="G20" s="69"/>
      <c r="H20" s="68" t="str">
        <f>'rakendusplaan 2016-2020'!AO24</f>
        <v>määratletakse 2016. a</v>
      </c>
      <c r="I20" s="64"/>
    </row>
    <row r="21" spans="1:17" ht="25.5" hidden="1" outlineLevel="1">
      <c r="A21" s="66" t="s">
        <v>24</v>
      </c>
      <c r="B21" s="60" t="str">
        <f>'rakendusplaan 2016-2020'!D25</f>
        <v>Toetatud pühapäevakoolide arv</v>
      </c>
      <c r="C21" s="65" t="str">
        <f>'rakendusplaan 2016-2020'!H25</f>
        <v>2013: 26 kooli</v>
      </c>
      <c r="D21" s="69"/>
      <c r="E21" s="69"/>
      <c r="F21" s="69"/>
      <c r="G21" s="69"/>
      <c r="H21" s="67" t="str">
        <f>'rakendusplaan 2016-2020'!AO25</f>
        <v>26 kooli</v>
      </c>
      <c r="I21" s="64"/>
    </row>
    <row r="22" spans="1:17" ht="63.75" collapsed="1">
      <c r="A22" s="63" t="str">
        <f>'rakendusplaan 2016-2020'!B32</f>
        <v>Alaeesmärk 2</v>
      </c>
      <c r="B22" s="12" t="str">
        <f>'rakendusplaan 2016-2020'!C32</f>
        <v>Vähelõimunud välispäritolu taustaga püsielanike osalemine ühiskonnas on kasvanud Eesti kodakondsuse omandamise ning uute ühiskondlike teadmiste kaudu</v>
      </c>
      <c r="C22" s="12"/>
      <c r="D22" s="64">
        <f>'rakendusplaan 2016-2020'!Q32</f>
        <v>2364424</v>
      </c>
      <c r="E22" s="64">
        <f>'rakendusplaan 2016-2020'!W32</f>
        <v>2576291</v>
      </c>
      <c r="F22" s="64">
        <f>'rakendusplaan 2016-2020'!AC32</f>
        <v>1856768</v>
      </c>
      <c r="G22" s="64">
        <f>'rakendusplaan 2016-2020'!AI32</f>
        <v>1406667</v>
      </c>
      <c r="H22" s="64">
        <f>'rakendusplaan 2016-2020'!AO32</f>
        <v>1321501</v>
      </c>
      <c r="I22" s="64">
        <f t="shared" ref="I22:I28" si="2">SUM(D22:H22)</f>
        <v>9525651</v>
      </c>
    </row>
    <row r="23" spans="1:17" ht="12.75">
      <c r="A23" s="7"/>
      <c r="B23" s="3" t="s">
        <v>3</v>
      </c>
      <c r="C23" s="3"/>
      <c r="D23" s="34">
        <f>D98</f>
        <v>2052395</v>
      </c>
      <c r="E23" s="34">
        <f>E98</f>
        <v>2234262</v>
      </c>
      <c r="F23" s="34">
        <f>F98</f>
        <v>1544739</v>
      </c>
      <c r="G23" s="34">
        <f>G98</f>
        <v>1094638</v>
      </c>
      <c r="H23" s="34">
        <f>H98</f>
        <v>1009472</v>
      </c>
      <c r="I23" s="34">
        <f t="shared" si="2"/>
        <v>7935506</v>
      </c>
    </row>
    <row r="24" spans="1:17" ht="12.75">
      <c r="A24" s="7"/>
      <c r="B24" s="3" t="s">
        <v>4</v>
      </c>
      <c r="C24" s="3"/>
      <c r="D24" s="34">
        <v>0</v>
      </c>
      <c r="E24" s="34">
        <v>0</v>
      </c>
      <c r="F24" s="34">
        <v>0</v>
      </c>
      <c r="G24" s="34">
        <v>0</v>
      </c>
      <c r="H24" s="34">
        <v>0</v>
      </c>
      <c r="I24" s="34">
        <f t="shared" si="2"/>
        <v>0</v>
      </c>
    </row>
    <row r="25" spans="1:17" ht="15">
      <c r="A25" s="7"/>
      <c r="B25" s="3" t="s">
        <v>5</v>
      </c>
      <c r="C25" s="3"/>
      <c r="D25" s="34">
        <v>0</v>
      </c>
      <c r="E25" s="34">
        <v>0</v>
      </c>
      <c r="F25" s="34">
        <v>0</v>
      </c>
      <c r="G25" s="34">
        <v>0</v>
      </c>
      <c r="H25" s="34">
        <v>0</v>
      </c>
      <c r="I25" s="34">
        <f t="shared" si="2"/>
        <v>0</v>
      </c>
      <c r="K25"/>
      <c r="L25"/>
      <c r="M25"/>
      <c r="N25"/>
      <c r="O25"/>
      <c r="P25"/>
      <c r="Q25"/>
    </row>
    <row r="26" spans="1:17" ht="12.75">
      <c r="A26" s="7"/>
      <c r="B26" s="3" t="s">
        <v>6</v>
      </c>
      <c r="C26" s="3"/>
      <c r="D26" s="34">
        <v>0</v>
      </c>
      <c r="E26" s="34">
        <v>0</v>
      </c>
      <c r="F26" s="34">
        <v>0</v>
      </c>
      <c r="G26" s="34">
        <v>0</v>
      </c>
      <c r="H26" s="34">
        <v>0</v>
      </c>
      <c r="I26" s="34">
        <f t="shared" si="2"/>
        <v>0</v>
      </c>
    </row>
    <row r="27" spans="1:17" ht="12.75">
      <c r="A27" s="7"/>
      <c r="B27" s="3" t="s">
        <v>7</v>
      </c>
      <c r="C27" s="3"/>
      <c r="D27" s="34">
        <f t="shared" ref="D27:H28" si="3">D99</f>
        <v>312029</v>
      </c>
      <c r="E27" s="34">
        <f t="shared" si="3"/>
        <v>312029</v>
      </c>
      <c r="F27" s="34">
        <f t="shared" si="3"/>
        <v>312029</v>
      </c>
      <c r="G27" s="34">
        <f t="shared" si="3"/>
        <v>312029</v>
      </c>
      <c r="H27" s="34">
        <f t="shared" si="3"/>
        <v>312029</v>
      </c>
      <c r="I27" s="34">
        <f t="shared" si="2"/>
        <v>1560145</v>
      </c>
    </row>
    <row r="28" spans="1:17" ht="12.75">
      <c r="A28" s="7"/>
      <c r="B28" s="3" t="s">
        <v>25</v>
      </c>
      <c r="C28" s="3"/>
      <c r="D28" s="34">
        <f t="shared" si="3"/>
        <v>0</v>
      </c>
      <c r="E28" s="34">
        <f t="shared" si="3"/>
        <v>30000</v>
      </c>
      <c r="F28" s="34">
        <f t="shared" si="3"/>
        <v>0</v>
      </c>
      <c r="G28" s="34">
        <f t="shared" si="3"/>
        <v>0</v>
      </c>
      <c r="H28" s="34">
        <f t="shared" si="3"/>
        <v>0</v>
      </c>
      <c r="I28" s="34">
        <f t="shared" si="2"/>
        <v>30000</v>
      </c>
    </row>
    <row r="29" spans="1:17" ht="25.5">
      <c r="A29" s="7" t="s">
        <v>26</v>
      </c>
      <c r="B29" s="3" t="s">
        <v>27</v>
      </c>
      <c r="C29" s="3" t="s">
        <v>28</v>
      </c>
      <c r="D29" s="34"/>
      <c r="E29" s="34"/>
      <c r="F29" s="34"/>
      <c r="G29" s="34"/>
      <c r="H29" s="67" t="s">
        <v>29</v>
      </c>
      <c r="I29" s="34"/>
    </row>
    <row r="30" spans="1:17" ht="12.75">
      <c r="A30" s="7" t="s">
        <v>30</v>
      </c>
      <c r="B30" s="3" t="s">
        <v>31</v>
      </c>
      <c r="C30" s="3" t="s">
        <v>32</v>
      </c>
      <c r="D30" s="34"/>
      <c r="E30" s="34"/>
      <c r="F30" s="34"/>
      <c r="G30" s="34"/>
      <c r="H30" s="67">
        <v>82000</v>
      </c>
      <c r="I30" s="34"/>
    </row>
    <row r="31" spans="1:17" ht="51" hidden="1" outlineLevel="1">
      <c r="A31" s="66" t="str">
        <f>'rakendusplaan 2016-2020'!B33</f>
        <v>Meede 2.1.</v>
      </c>
      <c r="B31" s="60" t="str">
        <f>'rakendusplaan 2016-2020'!C33</f>
        <v>Võimaluste loomine vähelõimunud välispäritolutaustaga Eesti püsielanike ühiskondliku aktiivsuse suurendamiseks ja lõimumise toetamiseks</v>
      </c>
      <c r="C31" s="3"/>
      <c r="D31" s="34">
        <f>'rakendusplaan 2016-2020'!Q33</f>
        <v>2208424</v>
      </c>
      <c r="E31" s="34">
        <f>'rakendusplaan 2016-2020'!W33</f>
        <v>2400291</v>
      </c>
      <c r="F31" s="34">
        <f>'rakendusplaan 2016-2020'!AC33</f>
        <v>1760768</v>
      </c>
      <c r="G31" s="34">
        <f>'rakendusplaan 2016-2020'!AI33</f>
        <v>1310667</v>
      </c>
      <c r="H31" s="34">
        <f>'rakendusplaan 2016-2020'!AO33</f>
        <v>1230501</v>
      </c>
      <c r="I31" s="34">
        <f>SUM(D31:H31)</f>
        <v>8910651</v>
      </c>
    </row>
    <row r="32" spans="1:17" ht="12.75" hidden="1" outlineLevel="1">
      <c r="A32" s="66" t="str">
        <f>'rakendusplaan 2016-2020'!B44</f>
        <v>Meede 2.2.</v>
      </c>
      <c r="B32" s="60" t="str">
        <f>'rakendusplaan 2016-2020'!C44</f>
        <v>Õiguslik-poliitilise lõimumise toetamine</v>
      </c>
      <c r="C32" s="3"/>
      <c r="D32" s="34">
        <f>'rakendusplaan 2016-2020'!Q44</f>
        <v>81000</v>
      </c>
      <c r="E32" s="34">
        <f>'rakendusplaan 2016-2020'!W44</f>
        <v>71000</v>
      </c>
      <c r="F32" s="34">
        <f>'rakendusplaan 2016-2020'!AC44</f>
        <v>71000</v>
      </c>
      <c r="G32" s="34">
        <f>'rakendusplaan 2016-2020'!AI44</f>
        <v>71000</v>
      </c>
      <c r="H32" s="34">
        <f>'rakendusplaan 2016-2020'!AO44</f>
        <v>66000</v>
      </c>
      <c r="I32" s="34">
        <f>SUM(D32:H32)</f>
        <v>360000</v>
      </c>
    </row>
    <row r="33" spans="1:11" ht="12.75" hidden="1" outlineLevel="1">
      <c r="A33" s="66" t="str">
        <f>'rakendusplaan 2016-2020'!B53</f>
        <v>Meede 2.3.</v>
      </c>
      <c r="B33" s="66" t="str">
        <f>'rakendusplaan 2016-2020'!C53</f>
        <v>Võrdse kohtlemise edendamine tööturul</v>
      </c>
      <c r="C33" s="3"/>
      <c r="D33" s="34">
        <f>'rakendusplaan 2016-2020'!Q53</f>
        <v>75000</v>
      </c>
      <c r="E33" s="34">
        <f>'rakendusplaan 2016-2020'!W53</f>
        <v>105000</v>
      </c>
      <c r="F33" s="34">
        <f>'rakendusplaan 2016-2020'!AC53</f>
        <v>25000</v>
      </c>
      <c r="G33" s="34">
        <f>'rakendusplaan 2016-2020'!AI53</f>
        <v>25000</v>
      </c>
      <c r="H33" s="34">
        <f>'rakendusplaan 2016-2020'!AO53</f>
        <v>25000</v>
      </c>
      <c r="I33" s="34">
        <f>SUM(D33:H33)</f>
        <v>255000</v>
      </c>
    </row>
    <row r="34" spans="1:11" ht="25.5" hidden="1" outlineLevel="1">
      <c r="A34" s="66" t="s">
        <v>33</v>
      </c>
      <c r="B34" s="60" t="str">
        <f>'rakendusplaan 2016-2020'!D34</f>
        <v>Lõimumisprogrammis osalenud isikute arv</v>
      </c>
      <c r="C34" s="70" t="str">
        <f>'rakendusplaan 2016-2020'!H34</f>
        <v>2014: 0 in</v>
      </c>
      <c r="D34" s="71"/>
      <c r="E34" s="71"/>
      <c r="F34" s="71"/>
      <c r="G34" s="71"/>
      <c r="H34" s="72" t="str">
        <f>'rakendusplaan 2016-2020'!AO34</f>
        <v xml:space="preserve">5500 in </v>
      </c>
      <c r="I34" s="64"/>
    </row>
    <row r="35" spans="1:11" ht="51" hidden="1" outlineLevel="1">
      <c r="A35" s="66" t="s">
        <v>34</v>
      </c>
      <c r="B35" s="60" t="str">
        <f>'rakendusplaan 2016-2020'!D35</f>
        <v>Lõimumisprogrammi läbinute osakaal, kellel on paranenud eesti keele oskus, praktiline informeeritus  ja teadmised Eesti riigi, ühiskonna ja kultuuri kohta</v>
      </c>
      <c r="C35" s="70" t="str">
        <f>'rakendusplaan 2016-2020'!H35</f>
        <v>2014: 0%</v>
      </c>
      <c r="D35" s="71"/>
      <c r="E35" s="71"/>
      <c r="F35" s="71"/>
      <c r="G35" s="71"/>
      <c r="H35" s="72" t="str">
        <f>'rakendusplaan 2016-2020'!AO35</f>
        <v>määratletakse 2016. a</v>
      </c>
      <c r="I35" s="64"/>
    </row>
    <row r="36" spans="1:11" ht="25.5" hidden="1" outlineLevel="1">
      <c r="A36" s="66" t="s">
        <v>35</v>
      </c>
      <c r="B36" s="60" t="str">
        <f>'rakendusplaan 2016-2020'!D36</f>
        <v>Nõustamissüsteemi kasutanud isikute arv</v>
      </c>
      <c r="C36" s="70" t="str">
        <f>'rakendusplaan 2016-2020'!H36</f>
        <v>2014: 0 in</v>
      </c>
      <c r="D36" s="71"/>
      <c r="E36" s="71"/>
      <c r="F36" s="71"/>
      <c r="G36" s="71"/>
      <c r="H36" s="72" t="str">
        <f>'rakendusplaan 2016-2020'!AO36</f>
        <v xml:space="preserve">5500 in </v>
      </c>
      <c r="I36" s="64"/>
    </row>
    <row r="37" spans="1:11" ht="25.5" hidden="1" outlineLevel="1">
      <c r="A37" s="66" t="s">
        <v>36</v>
      </c>
      <c r="B37" s="60" t="str">
        <f>'rakendusplaan 2016-2020'!D45</f>
        <v>Teavitust läbiviivate organisatsioonide arv</v>
      </c>
      <c r="C37" s="70" t="str">
        <f>'rakendusplaan 2016-2020'!H45</f>
        <v>2013: 1 org</v>
      </c>
      <c r="D37" s="71"/>
      <c r="E37" s="71"/>
      <c r="F37" s="71"/>
      <c r="G37" s="71"/>
      <c r="H37" s="70" t="str">
        <f>'rakendusplaan 2016-2020'!AO45</f>
        <v>1 org</v>
      </c>
      <c r="I37" s="64"/>
    </row>
    <row r="38" spans="1:11" ht="63.75" hidden="1" outlineLevel="1">
      <c r="A38" s="66" t="s">
        <v>37</v>
      </c>
      <c r="B38" s="60" t="str">
        <f>'rakendusplaan 2016-2020'!D46</f>
        <v>Tegevustes osalenud määratlemata kodakondsusega inimeste ja teiste kolmandate riikide kodanike teadlikkus Eesti kodakondsuse omamisega kaasnevatest õigustest ja kohustustest</v>
      </c>
      <c r="C38" s="70" t="str">
        <f>'rakendusplaan 2016-2020'!H46</f>
        <v>määratletakse 2016. a</v>
      </c>
      <c r="D38" s="71"/>
      <c r="E38" s="71"/>
      <c r="F38" s="71"/>
      <c r="G38" s="71"/>
      <c r="H38" s="70" t="str">
        <f>'rakendusplaan 2016-2020'!AO46</f>
        <v>määratletakse 2016. a</v>
      </c>
      <c r="I38" s="64"/>
      <c r="K38" s="25" t="s">
        <v>38</v>
      </c>
    </row>
    <row r="39" spans="1:11" ht="25.5" hidden="1" outlineLevel="1">
      <c r="A39" s="66" t="s">
        <v>39</v>
      </c>
      <c r="B39" s="60" t="str">
        <f>'rakendusplaan 2016-2020'!D47</f>
        <v>Toetatud organisatsioonide arv</v>
      </c>
      <c r="C39" s="70" t="str">
        <f>'rakendusplaan 2016-2020'!H47</f>
        <v>2013: 2 org</v>
      </c>
      <c r="D39" s="71"/>
      <c r="E39" s="71"/>
      <c r="F39" s="71"/>
      <c r="G39" s="71"/>
      <c r="H39" s="70" t="str">
        <f>'rakendusplaan 2016-2020'!AO47</f>
        <v>2 org</v>
      </c>
      <c r="I39" s="64"/>
    </row>
    <row r="40" spans="1:11" ht="25.5" hidden="1" outlineLevel="1">
      <c r="A40" s="66" t="s">
        <v>40</v>
      </c>
      <c r="B40" s="60" t="str">
        <f>'rakendusplaan 2016-2020'!D54</f>
        <v>Tegevustesse hõlmatud organisatsioonide arv</v>
      </c>
      <c r="C40" s="70" t="str">
        <f>'rakendusplaan 2016-2020'!H54</f>
        <v>2014: 0 org</v>
      </c>
      <c r="D40" s="71"/>
      <c r="E40" s="71"/>
      <c r="F40" s="71"/>
      <c r="G40" s="71"/>
      <c r="H40" s="112" t="str">
        <f>'rakendusplaan 2016-2020'!AO54</f>
        <v>10 org</v>
      </c>
      <c r="I40" s="64"/>
    </row>
    <row r="41" spans="1:11" ht="25.5" collapsed="1">
      <c r="A41" s="63" t="str">
        <f>'rakendusplaan 2016-2020'!B58</f>
        <v>Alaeesmärk 3</v>
      </c>
      <c r="B41" s="12" t="str">
        <f>'rakendusplaan 2016-2020'!C58</f>
        <v xml:space="preserve">Uussisserändajad on Eesti ühiskonnas kohanenud </v>
      </c>
      <c r="C41" s="73"/>
      <c r="D41" s="74">
        <f>'rakendusplaan 2016-2020'!Q58</f>
        <v>1068368.94</v>
      </c>
      <c r="E41" s="74">
        <f>'rakendusplaan 2016-2020'!W58</f>
        <v>1472357.52</v>
      </c>
      <c r="F41" s="74">
        <f>'rakendusplaan 2016-2020'!AC58</f>
        <v>1681444.9</v>
      </c>
      <c r="G41" s="74">
        <f>'rakendusplaan 2016-2020'!AI58</f>
        <v>1691301</v>
      </c>
      <c r="H41" s="74">
        <f>'rakendusplaan 2016-2020'!AO58</f>
        <v>1939854.7006250001</v>
      </c>
      <c r="I41" s="64">
        <f t="shared" ref="I41:I46" si="4">SUM(D41:H41)</f>
        <v>7853327.0606249999</v>
      </c>
    </row>
    <row r="42" spans="1:11" ht="12.75">
      <c r="A42" s="7"/>
      <c r="B42" s="3" t="s">
        <v>3</v>
      </c>
      <c r="C42" s="3"/>
      <c r="D42" s="34">
        <v>0</v>
      </c>
      <c r="E42" s="34">
        <v>0</v>
      </c>
      <c r="F42" s="34">
        <v>0</v>
      </c>
      <c r="G42" s="34">
        <v>0</v>
      </c>
      <c r="H42" s="34">
        <v>0</v>
      </c>
      <c r="I42" s="34">
        <f t="shared" si="4"/>
        <v>0</v>
      </c>
    </row>
    <row r="43" spans="1:11" ht="12.75">
      <c r="A43" s="7"/>
      <c r="B43" s="3" t="s">
        <v>4</v>
      </c>
      <c r="C43" s="3"/>
      <c r="D43" s="34">
        <v>0</v>
      </c>
      <c r="E43" s="34">
        <v>0</v>
      </c>
      <c r="F43" s="34">
        <v>0</v>
      </c>
      <c r="G43" s="34">
        <v>0</v>
      </c>
      <c r="H43" s="34">
        <v>0</v>
      </c>
      <c r="I43" s="34">
        <f t="shared" si="4"/>
        <v>0</v>
      </c>
    </row>
    <row r="44" spans="1:11" ht="12.75">
      <c r="A44" s="7"/>
      <c r="B44" s="3" t="s">
        <v>5</v>
      </c>
      <c r="C44" s="3"/>
      <c r="D44" s="34">
        <f>D103</f>
        <v>1068368.94</v>
      </c>
      <c r="E44" s="34">
        <f>E103</f>
        <v>1472357.52</v>
      </c>
      <c r="F44" s="34">
        <f>F103</f>
        <v>1681444.9</v>
      </c>
      <c r="G44" s="34">
        <f>G103</f>
        <v>1691301</v>
      </c>
      <c r="H44" s="34">
        <f>H103</f>
        <v>1939854.7006250001</v>
      </c>
      <c r="I44" s="34">
        <f>SUM(D44:H44)</f>
        <v>7853327.0606249999</v>
      </c>
    </row>
    <row r="45" spans="1:11" ht="12.75">
      <c r="A45" s="7"/>
      <c r="B45" s="3" t="s">
        <v>6</v>
      </c>
      <c r="C45" s="3"/>
      <c r="D45" s="34">
        <v>0</v>
      </c>
      <c r="E45" s="34">
        <v>0</v>
      </c>
      <c r="F45" s="34">
        <v>0</v>
      </c>
      <c r="G45" s="34">
        <v>0</v>
      </c>
      <c r="H45" s="34">
        <v>0</v>
      </c>
      <c r="I45" s="34">
        <f t="shared" si="4"/>
        <v>0</v>
      </c>
    </row>
    <row r="46" spans="1:11" ht="12.75">
      <c r="A46" s="7"/>
      <c r="B46" s="3" t="s">
        <v>7</v>
      </c>
      <c r="C46" s="3"/>
      <c r="D46" s="34">
        <v>0</v>
      </c>
      <c r="E46" s="34">
        <v>0</v>
      </c>
      <c r="F46" s="34">
        <v>0</v>
      </c>
      <c r="G46" s="34">
        <v>0</v>
      </c>
      <c r="H46" s="34">
        <v>0</v>
      </c>
      <c r="I46" s="34">
        <f t="shared" si="4"/>
        <v>0</v>
      </c>
    </row>
    <row r="47" spans="1:11" ht="51">
      <c r="A47" s="7" t="s">
        <v>41</v>
      </c>
      <c r="B47" s="3" t="s">
        <v>42</v>
      </c>
      <c r="C47" s="109" t="s">
        <v>43</v>
      </c>
      <c r="D47" s="76"/>
      <c r="E47" s="76"/>
      <c r="F47" s="76"/>
      <c r="G47" s="76"/>
      <c r="H47" s="81">
        <v>0.7</v>
      </c>
      <c r="I47" s="34"/>
    </row>
    <row r="48" spans="1:11" ht="25.5" hidden="1" outlineLevel="1">
      <c r="A48" s="66" t="str">
        <f>'rakendusplaan 2016-2020'!B59</f>
        <v>Meede 3.1.</v>
      </c>
      <c r="B48" s="60" t="str">
        <f>'rakendusplaan 2016-2020'!C59</f>
        <v>Kohanemiskoolituste pakkumine uussisserändajatele</v>
      </c>
      <c r="C48" s="75"/>
      <c r="D48" s="76">
        <f>'rakendusplaan 2016-2020'!Q59</f>
        <v>913842.29</v>
      </c>
      <c r="E48" s="76">
        <f>'rakendusplaan 2016-2020'!W59</f>
        <v>1036389.5199999999</v>
      </c>
      <c r="F48" s="76">
        <f>'rakendusplaan 2016-2020'!AC59</f>
        <v>1295476.8999999999</v>
      </c>
      <c r="G48" s="76">
        <f>'rakendusplaan 2016-2020'!AI59</f>
        <v>1288666</v>
      </c>
      <c r="H48" s="76">
        <f>'rakendusplaan 2016-2020'!AO59</f>
        <v>1537219.7006250001</v>
      </c>
      <c r="I48" s="34">
        <f>SUM(D48:H48)</f>
        <v>6071594.4106249996</v>
      </c>
    </row>
    <row r="49" spans="1:9" ht="25.5" hidden="1" outlineLevel="1">
      <c r="A49" s="77" t="str">
        <f>'rakendusplaan 2016-2020'!B63</f>
        <v xml:space="preserve">Meede 3.2. </v>
      </c>
      <c r="B49" s="60" t="str">
        <f>'rakendusplaan 2016-2020'!C63</f>
        <v>Uussisserändajatele suunatud tugiteenuste arendamine</v>
      </c>
      <c r="C49" s="75"/>
      <c r="D49" s="76">
        <f>'rakendusplaan 2016-2020'!Q63</f>
        <v>154526.65</v>
      </c>
      <c r="E49" s="76">
        <f>'rakendusplaan 2016-2020'!W63</f>
        <v>435968</v>
      </c>
      <c r="F49" s="76">
        <f>'rakendusplaan 2016-2020'!AC63</f>
        <v>385968</v>
      </c>
      <c r="G49" s="76">
        <f>'rakendusplaan 2016-2020'!AI63</f>
        <v>402635</v>
      </c>
      <c r="H49" s="76">
        <f>'rakendusplaan 2016-2020'!AO63</f>
        <v>402635</v>
      </c>
      <c r="I49" s="34">
        <f>SUM(D49:H49)</f>
        <v>1781732.65</v>
      </c>
    </row>
    <row r="50" spans="1:9" ht="25.5" hidden="1" outlineLevel="1">
      <c r="A50" s="66" t="s">
        <v>44</v>
      </c>
      <c r="B50" s="60" t="str">
        <f>'rakendusplaan 2016-2020'!D60</f>
        <v>Koolitatavate arv</v>
      </c>
      <c r="C50" s="75" t="str">
        <f>'rakendusplaan 2016-2020'!H60</f>
        <v>2014: 0 in</v>
      </c>
      <c r="D50" s="78"/>
      <c r="E50" s="78"/>
      <c r="F50" s="78"/>
      <c r="G50" s="78"/>
      <c r="H50" s="79" t="str">
        <f>'rakendusplaan 2016-2020'!AO60</f>
        <v>8 575 in.</v>
      </c>
      <c r="I50" s="64"/>
    </row>
    <row r="51" spans="1:9" ht="25.5" hidden="1" outlineLevel="1">
      <c r="A51" s="66" t="s">
        <v>45</v>
      </c>
      <c r="B51" s="60" t="str">
        <f>'rakendusplaan 2016-2020'!D64</f>
        <v>Arendatud või väljatöötatud teenuste arv</v>
      </c>
      <c r="C51" s="75" t="str">
        <f>'rakendusplaan 2016-2020'!H64</f>
        <v>2014: 0 tk</v>
      </c>
      <c r="D51" s="78"/>
      <c r="E51" s="78"/>
      <c r="F51" s="78"/>
      <c r="G51" s="78"/>
      <c r="H51" s="79" t="str">
        <f>'rakendusplaan 2016-2020'!AO64</f>
        <v>50 tk</v>
      </c>
      <c r="I51" s="64"/>
    </row>
    <row r="52" spans="1:9" ht="51" collapsed="1">
      <c r="A52" s="11" t="str">
        <f>'rakendusplaan 2016-2020'!B67</f>
        <v>Eesmärk 4</v>
      </c>
      <c r="B52" s="12" t="s">
        <v>46</v>
      </c>
      <c r="C52" s="73"/>
      <c r="D52" s="74">
        <f>'rakendusplaan 2016-2020'!Q67</f>
        <v>0</v>
      </c>
      <c r="E52" s="74">
        <f>'rakendusplaan 2016-2020'!W67</f>
        <v>0</v>
      </c>
      <c r="F52" s="74">
        <f>'rakendusplaan 2016-2020'!AC67</f>
        <v>0</v>
      </c>
      <c r="G52" s="74">
        <f>'rakendusplaan 2016-2020'!AI67</f>
        <v>0</v>
      </c>
      <c r="H52" s="74">
        <f>'rakendusplaan 2016-2020'!AO67</f>
        <v>0</v>
      </c>
      <c r="I52" s="64">
        <f t="shared" ref="I52:I57" si="5">SUM(D52:H52)</f>
        <v>0</v>
      </c>
    </row>
    <row r="53" spans="1:9" ht="12.75">
      <c r="A53" s="1"/>
      <c r="B53" s="3" t="s">
        <v>3</v>
      </c>
      <c r="C53" s="75"/>
      <c r="D53" s="34">
        <v>0</v>
      </c>
      <c r="E53" s="34">
        <v>0</v>
      </c>
      <c r="F53" s="34">
        <v>0</v>
      </c>
      <c r="G53" s="34">
        <v>0</v>
      </c>
      <c r="H53" s="34">
        <v>0</v>
      </c>
      <c r="I53" s="34">
        <f t="shared" si="5"/>
        <v>0</v>
      </c>
    </row>
    <row r="54" spans="1:9" ht="12.75">
      <c r="A54" s="1"/>
      <c r="B54" s="3" t="s">
        <v>4</v>
      </c>
      <c r="C54" s="75"/>
      <c r="D54" s="34">
        <v>0</v>
      </c>
      <c r="E54" s="34">
        <v>0</v>
      </c>
      <c r="F54" s="34">
        <v>0</v>
      </c>
      <c r="G54" s="34">
        <v>0</v>
      </c>
      <c r="H54" s="34">
        <v>0</v>
      </c>
      <c r="I54" s="34">
        <f t="shared" si="5"/>
        <v>0</v>
      </c>
    </row>
    <row r="55" spans="1:9" ht="12.75">
      <c r="A55" s="1"/>
      <c r="B55" s="3" t="s">
        <v>5</v>
      </c>
      <c r="C55" s="75"/>
      <c r="D55" s="34">
        <v>0</v>
      </c>
      <c r="E55" s="34">
        <v>0</v>
      </c>
      <c r="F55" s="34">
        <v>0</v>
      </c>
      <c r="G55" s="34">
        <v>0</v>
      </c>
      <c r="H55" s="34">
        <v>0</v>
      </c>
      <c r="I55" s="34">
        <f t="shared" si="5"/>
        <v>0</v>
      </c>
    </row>
    <row r="56" spans="1:9" ht="12.75">
      <c r="A56" s="7"/>
      <c r="B56" s="3" t="s">
        <v>6</v>
      </c>
      <c r="C56" s="3"/>
      <c r="D56" s="34">
        <v>0</v>
      </c>
      <c r="E56" s="34">
        <v>0</v>
      </c>
      <c r="F56" s="34">
        <v>0</v>
      </c>
      <c r="G56" s="34">
        <v>0</v>
      </c>
      <c r="H56" s="34">
        <v>0</v>
      </c>
      <c r="I56" s="34">
        <f t="shared" si="5"/>
        <v>0</v>
      </c>
    </row>
    <row r="57" spans="1:9" ht="12.75">
      <c r="A57" s="1"/>
      <c r="B57" s="3" t="s">
        <v>7</v>
      </c>
      <c r="C57" s="75"/>
      <c r="D57" s="34">
        <v>0</v>
      </c>
      <c r="E57" s="34">
        <v>0</v>
      </c>
      <c r="F57" s="34">
        <v>0</v>
      </c>
      <c r="G57" s="34">
        <v>0</v>
      </c>
      <c r="H57" s="34">
        <v>0</v>
      </c>
      <c r="I57" s="34">
        <f t="shared" si="5"/>
        <v>0</v>
      </c>
    </row>
    <row r="58" spans="1:9" ht="38.25">
      <c r="A58" s="7" t="s">
        <v>47</v>
      </c>
      <c r="B58" s="3" t="s">
        <v>48</v>
      </c>
      <c r="C58" s="3" t="s">
        <v>49</v>
      </c>
      <c r="D58" s="78"/>
      <c r="E58" s="78"/>
      <c r="F58" s="78"/>
      <c r="G58" s="78"/>
      <c r="H58" s="67" t="s">
        <v>388</v>
      </c>
      <c r="I58" s="64"/>
    </row>
    <row r="59" spans="1:9" ht="38.25">
      <c r="A59" s="7" t="s">
        <v>521</v>
      </c>
      <c r="B59" s="3" t="s">
        <v>50</v>
      </c>
      <c r="C59" s="75" t="s">
        <v>51</v>
      </c>
      <c r="D59" s="78"/>
      <c r="E59" s="78"/>
      <c r="F59" s="78"/>
      <c r="G59" s="78"/>
      <c r="H59" s="80" t="s">
        <v>389</v>
      </c>
      <c r="I59" s="64"/>
    </row>
    <row r="60" spans="1:9" ht="178.5">
      <c r="A60" s="7" t="s">
        <v>52</v>
      </c>
      <c r="B60" s="3" t="s">
        <v>53</v>
      </c>
      <c r="C60" s="75" t="s">
        <v>54</v>
      </c>
      <c r="D60" s="78"/>
      <c r="E60" s="78"/>
      <c r="F60" s="78"/>
      <c r="G60" s="78"/>
      <c r="H60" s="79" t="s">
        <v>390</v>
      </c>
      <c r="I60" s="64"/>
    </row>
    <row r="61" spans="1:9" ht="76.5">
      <c r="A61" s="7" t="s">
        <v>55</v>
      </c>
      <c r="B61" s="3" t="s">
        <v>56</v>
      </c>
      <c r="C61" s="75" t="s">
        <v>57</v>
      </c>
      <c r="D61" s="78"/>
      <c r="E61" s="78"/>
      <c r="F61" s="78"/>
      <c r="G61" s="78"/>
      <c r="H61" s="75" t="s">
        <v>58</v>
      </c>
      <c r="I61" s="64"/>
    </row>
    <row r="62" spans="1:9" ht="38.25" hidden="1" outlineLevel="1">
      <c r="A62" s="66" t="str">
        <f>'rakendusplaan 2016-2020'!B68</f>
        <v>Meede 4.1.</v>
      </c>
      <c r="B62" s="3" t="str">
        <f>'rakendusplaan 2016-2020'!C68</f>
        <v>Eesti keelest erineva emakeelega inimestele konkurentsivõimeliste haridusvõimaluste tagamine</v>
      </c>
      <c r="C62" s="75"/>
      <c r="D62" s="76">
        <f>'rakendusplaan 2016-2020'!Q68</f>
        <v>0</v>
      </c>
      <c r="E62" s="76">
        <f>'rakendusplaan 2016-2020'!W68</f>
        <v>0</v>
      </c>
      <c r="F62" s="76">
        <f>'rakendusplaan 2016-2020'!AC68</f>
        <v>0</v>
      </c>
      <c r="G62" s="76">
        <f>'rakendusplaan 2016-2020'!AI68</f>
        <v>0</v>
      </c>
      <c r="H62" s="76">
        <f>'rakendusplaan 2016-2020'!AO68</f>
        <v>0</v>
      </c>
      <c r="I62" s="34">
        <f>SUM(D62:H62)</f>
        <v>0</v>
      </c>
    </row>
    <row r="63" spans="1:9" ht="38.25" hidden="1" outlineLevel="1">
      <c r="A63" s="66" t="str">
        <f>'rakendusplaan 2016-2020'!B78</f>
        <v xml:space="preserve">Meede 4.2. </v>
      </c>
      <c r="B63" s="3" t="str">
        <f>'rakendusplaan 2016-2020'!C78</f>
        <v>Eesti keelele ülemineku, keelekümbluse ja lõimitud aineõppe läbiviimise ja rakendamise toetamine</v>
      </c>
      <c r="C63" s="75"/>
      <c r="D63" s="76">
        <f>'rakendusplaan 2016-2020'!Q78</f>
        <v>0</v>
      </c>
      <c r="E63" s="76">
        <f>'rakendusplaan 2016-2020'!W78</f>
        <v>0</v>
      </c>
      <c r="F63" s="76">
        <f>'rakendusplaan 2016-2020'!AC78</f>
        <v>0</v>
      </c>
      <c r="G63" s="76">
        <f>'rakendusplaan 2016-2020'!AI78</f>
        <v>0</v>
      </c>
      <c r="H63" s="76">
        <f>'rakendusplaan 2016-2020'!AO78</f>
        <v>0</v>
      </c>
      <c r="I63" s="34">
        <f>SUM(D63:H63)</f>
        <v>0</v>
      </c>
    </row>
    <row r="64" spans="1:9" ht="51" hidden="1" outlineLevel="1">
      <c r="A64" s="66" t="s">
        <v>59</v>
      </c>
      <c r="B64" s="3" t="str">
        <f>'rakendusplaan 2016-2020'!D69</f>
        <v xml:space="preserve">Eesti keelest erineva emakeelega põhikooli lõpetajate osakaal, kes valdavad eesti keelt vähemalt tasemel B1 (%).
</v>
      </c>
      <c r="C64" s="75" t="str">
        <f>'rakendusplaan 2016-2020'!H69</f>
        <v xml:space="preserve">2014: 67% </v>
      </c>
      <c r="D64" s="78"/>
      <c r="E64" s="78"/>
      <c r="F64" s="78"/>
      <c r="G64" s="78"/>
      <c r="H64" s="79" t="str">
        <f>'rakendusplaan 2016-2020'!AO69</f>
        <v>82%</v>
      </c>
      <c r="I64" s="64"/>
    </row>
    <row r="65" spans="1:9" ht="38.25" hidden="1" outlineLevel="1">
      <c r="A65" s="66" t="s">
        <v>60</v>
      </c>
      <c r="B65" s="3" t="str">
        <f>'rakendusplaan 2016-2020'!D71</f>
        <v>Eesti keele kui teise keele riigieksami vähemalt 60% tulemusega sooritanute osakaal eksamil käinud gümnaasiumilõpetajate arvust</v>
      </c>
      <c r="C65" s="75" t="str">
        <f>'rakendusplaan 2016-2020'!H71</f>
        <v>2012: 70,3%</v>
      </c>
      <c r="D65" s="78"/>
      <c r="E65" s="78"/>
      <c r="F65" s="78"/>
      <c r="G65" s="78"/>
      <c r="H65" s="79" t="str">
        <f>'rakendusplaan 2016-2020'!AO71</f>
        <v xml:space="preserve">75% </v>
      </c>
      <c r="I65" s="64"/>
    </row>
    <row r="66" spans="1:9" ht="38.25" hidden="1" outlineLevel="1">
      <c r="A66" s="66" t="s">
        <v>61</v>
      </c>
      <c r="B66" s="3" t="str">
        <f>'rakendusplaan 2016-2020'!D79</f>
        <v xml:space="preserve">Eestikeelses õppes ja keelekümblusklassides osalevate eesti keelest erineva emakeelega õpilaste osakaal (%) </v>
      </c>
      <c r="C66" s="81" t="str">
        <f>'rakendusplaan 2016-2020'!H79</f>
        <v>2015: 28,7%</v>
      </c>
      <c r="D66" s="78"/>
      <c r="E66" s="78"/>
      <c r="F66" s="78"/>
      <c r="G66" s="78"/>
      <c r="H66" s="79" t="str">
        <f>'rakendusplaan 2016-2020'!AO79</f>
        <v>suureneb</v>
      </c>
      <c r="I66" s="64"/>
    </row>
    <row r="67" spans="1:9" ht="51" collapsed="1">
      <c r="A67" s="11" t="str">
        <f>'rakendusplaan 2016-2020'!B83</f>
        <v>Eesmärk 5</v>
      </c>
      <c r="B67" s="12" t="s">
        <v>62</v>
      </c>
      <c r="C67" s="73"/>
      <c r="D67" s="74">
        <f>'rakendusplaan 2016-2020'!Q83</f>
        <v>0</v>
      </c>
      <c r="E67" s="74">
        <f>'rakendusplaan 2016-2020'!W83</f>
        <v>0</v>
      </c>
      <c r="F67" s="74">
        <f>'rakendusplaan 2016-2020'!AC83</f>
        <v>0</v>
      </c>
      <c r="G67" s="74">
        <f>'rakendusplaan 2016-2020'!AI83</f>
        <v>0</v>
      </c>
      <c r="H67" s="74">
        <f>'rakendusplaan 2016-2020'!AO83</f>
        <v>0</v>
      </c>
      <c r="I67" s="64">
        <f>SUM(D67:H67)</f>
        <v>0</v>
      </c>
    </row>
    <row r="68" spans="1:9" ht="12.75">
      <c r="A68" s="1"/>
      <c r="B68" s="3" t="s">
        <v>3</v>
      </c>
      <c r="C68" s="75"/>
      <c r="D68" s="34">
        <v>0</v>
      </c>
      <c r="E68" s="34">
        <v>0</v>
      </c>
      <c r="F68" s="34">
        <v>0</v>
      </c>
      <c r="G68" s="34">
        <v>0</v>
      </c>
      <c r="H68" s="34">
        <v>0</v>
      </c>
      <c r="I68" s="34">
        <f>SUM(D68:H68)</f>
        <v>0</v>
      </c>
    </row>
    <row r="69" spans="1:9" ht="12.75">
      <c r="A69" s="1"/>
      <c r="B69" s="3" t="s">
        <v>4</v>
      </c>
      <c r="C69" s="75"/>
      <c r="D69" s="34">
        <v>0</v>
      </c>
      <c r="E69" s="34">
        <v>0</v>
      </c>
      <c r="F69" s="34">
        <v>0</v>
      </c>
      <c r="G69" s="34">
        <v>0</v>
      </c>
      <c r="H69" s="34">
        <v>0</v>
      </c>
      <c r="I69" s="34">
        <f>SUM(D69:H69)</f>
        <v>0</v>
      </c>
    </row>
    <row r="70" spans="1:9" ht="12.75">
      <c r="A70" s="1"/>
      <c r="B70" s="3" t="s">
        <v>5</v>
      </c>
      <c r="C70" s="75"/>
      <c r="D70" s="34">
        <v>0</v>
      </c>
      <c r="E70" s="34">
        <v>0</v>
      </c>
      <c r="F70" s="34">
        <v>0</v>
      </c>
      <c r="G70" s="34">
        <v>0</v>
      </c>
      <c r="H70" s="34">
        <v>0</v>
      </c>
      <c r="I70" s="34">
        <f>SUM(D70:H70)</f>
        <v>0</v>
      </c>
    </row>
    <row r="71" spans="1:9" ht="12.75">
      <c r="A71" s="1"/>
      <c r="B71" s="3" t="s">
        <v>7</v>
      </c>
      <c r="C71" s="75"/>
      <c r="D71" s="34">
        <v>0</v>
      </c>
      <c r="E71" s="34">
        <v>0</v>
      </c>
      <c r="F71" s="34">
        <v>0</v>
      </c>
      <c r="G71" s="34">
        <v>0</v>
      </c>
      <c r="H71" s="34">
        <v>0</v>
      </c>
      <c r="I71" s="34">
        <f>SUM(D71:H71)</f>
        <v>0</v>
      </c>
    </row>
    <row r="72" spans="1:9" ht="38.25">
      <c r="A72" s="7" t="s">
        <v>63</v>
      </c>
      <c r="B72" s="110" t="s">
        <v>64</v>
      </c>
      <c r="C72" s="111" t="s">
        <v>65</v>
      </c>
      <c r="D72" s="78"/>
      <c r="E72" s="78"/>
      <c r="F72" s="78"/>
      <c r="G72" s="78"/>
      <c r="H72" s="111" t="s">
        <v>66</v>
      </c>
      <c r="I72" s="64"/>
    </row>
    <row r="73" spans="1:9" ht="25.5" hidden="1" outlineLevel="1">
      <c r="A73" s="66" t="str">
        <f>'rakendusplaan 2016-2020'!B84</f>
        <v>Meede 5.1.</v>
      </c>
      <c r="B73" s="3" t="str">
        <f>'rakendusplaan 2016-2020'!C84</f>
        <v>Võimaluste suurendamine noorte omaalgatuseks, ühistegevuseks ja osaluseks</v>
      </c>
      <c r="C73" s="75"/>
      <c r="D73" s="76">
        <f>'rakendusplaan 2016-2020'!Q84</f>
        <v>0</v>
      </c>
      <c r="E73" s="76"/>
      <c r="F73" s="76">
        <f>'rakendusplaan 2016-2020'!X84</f>
        <v>0</v>
      </c>
      <c r="G73" s="76">
        <f>'rakendusplaan 2016-2020'!AI84</f>
        <v>0</v>
      </c>
      <c r="H73" s="76">
        <f>'rakendusplaan 2016-2020'!AO84</f>
        <v>0</v>
      </c>
      <c r="I73" s="34">
        <f>SUM(D73:H73)</f>
        <v>0</v>
      </c>
    </row>
    <row r="74" spans="1:9" ht="25.5" hidden="1" outlineLevel="1">
      <c r="A74" s="66" t="s">
        <v>67</v>
      </c>
      <c r="B74" s="3" t="str">
        <f>'rakendusplaan 2016-2020'!D85</f>
        <v>Organiseeritud osalusvõimaluste arv</v>
      </c>
      <c r="C74" s="75" t="str">
        <f>'rakendusplaan 2016-2020'!H85</f>
        <v>2013: 80</v>
      </c>
      <c r="D74" s="78"/>
      <c r="E74" s="78"/>
      <c r="F74" s="78"/>
      <c r="G74" s="78"/>
      <c r="H74" s="79" t="str">
        <f>'rakendusplaan 2016-2020'!AO85</f>
        <v>200</v>
      </c>
      <c r="I74" s="64"/>
    </row>
    <row r="75" spans="1:9" ht="63.75" collapsed="1">
      <c r="A75" s="11" t="s">
        <v>68</v>
      </c>
      <c r="B75" s="12" t="s">
        <v>69</v>
      </c>
      <c r="C75" s="73"/>
      <c r="D75" s="74">
        <f>'rakendusplaan 2016-2020'!Q89</f>
        <v>0</v>
      </c>
      <c r="E75" s="74">
        <f>'rakendusplaan 2016-2020'!W89</f>
        <v>0</v>
      </c>
      <c r="F75" s="74">
        <f>'rakendusplaan 2016-2020'!AC89</f>
        <v>0</v>
      </c>
      <c r="G75" s="74">
        <f>'rakendusplaan 2016-2020'!AI89</f>
        <v>0</v>
      </c>
      <c r="H75" s="74">
        <f>'rakendusplaan 2016-2020'!AO89</f>
        <v>0</v>
      </c>
      <c r="I75" s="64">
        <f t="shared" ref="I75:I80" si="6">SUM(D75:H75)</f>
        <v>0</v>
      </c>
    </row>
    <row r="76" spans="1:9" ht="12.75">
      <c r="A76" s="1"/>
      <c r="B76" s="3" t="s">
        <v>3</v>
      </c>
      <c r="C76" s="75"/>
      <c r="D76" s="34">
        <v>0</v>
      </c>
      <c r="E76" s="34">
        <v>0</v>
      </c>
      <c r="F76" s="34">
        <v>0</v>
      </c>
      <c r="G76" s="34">
        <v>0</v>
      </c>
      <c r="H76" s="34">
        <v>0</v>
      </c>
      <c r="I76" s="34">
        <f t="shared" si="6"/>
        <v>0</v>
      </c>
    </row>
    <row r="77" spans="1:9" ht="12.75">
      <c r="A77" s="1"/>
      <c r="B77" s="3" t="s">
        <v>4</v>
      </c>
      <c r="C77" s="75"/>
      <c r="D77" s="34">
        <v>0</v>
      </c>
      <c r="E77" s="34">
        <v>0</v>
      </c>
      <c r="F77" s="34">
        <v>0</v>
      </c>
      <c r="G77" s="34">
        <v>0</v>
      </c>
      <c r="H77" s="34">
        <v>0</v>
      </c>
      <c r="I77" s="34">
        <f t="shared" si="6"/>
        <v>0</v>
      </c>
    </row>
    <row r="78" spans="1:9" ht="12.75">
      <c r="A78" s="1"/>
      <c r="B78" s="3" t="s">
        <v>5</v>
      </c>
      <c r="C78" s="75"/>
      <c r="D78" s="34">
        <v>0</v>
      </c>
      <c r="E78" s="34">
        <v>0</v>
      </c>
      <c r="F78" s="34">
        <v>0</v>
      </c>
      <c r="G78" s="34">
        <v>0</v>
      </c>
      <c r="H78" s="34">
        <v>0</v>
      </c>
      <c r="I78" s="34">
        <f t="shared" si="6"/>
        <v>0</v>
      </c>
    </row>
    <row r="79" spans="1:9" ht="12.75">
      <c r="A79" s="1"/>
      <c r="B79" s="3" t="s">
        <v>6</v>
      </c>
      <c r="C79" s="75"/>
      <c r="D79" s="34">
        <v>0</v>
      </c>
      <c r="E79" s="34">
        <v>0</v>
      </c>
      <c r="F79" s="34">
        <v>0</v>
      </c>
      <c r="G79" s="34">
        <v>0</v>
      </c>
      <c r="H79" s="34">
        <v>0</v>
      </c>
      <c r="I79" s="34">
        <f t="shared" si="6"/>
        <v>0</v>
      </c>
    </row>
    <row r="80" spans="1:9" ht="12.75">
      <c r="A80" s="1"/>
      <c r="B80" s="3" t="s">
        <v>7</v>
      </c>
      <c r="C80" s="75"/>
      <c r="D80" s="34">
        <v>0</v>
      </c>
      <c r="E80" s="34">
        <v>0</v>
      </c>
      <c r="F80" s="34">
        <v>0</v>
      </c>
      <c r="G80" s="34">
        <v>0</v>
      </c>
      <c r="H80" s="34">
        <v>0</v>
      </c>
      <c r="I80" s="34">
        <f t="shared" si="6"/>
        <v>0</v>
      </c>
    </row>
    <row r="81" spans="1:9" ht="38.25">
      <c r="A81" s="7" t="s">
        <v>70</v>
      </c>
      <c r="B81" s="3" t="s">
        <v>71</v>
      </c>
      <c r="C81" s="3" t="s">
        <v>72</v>
      </c>
      <c r="D81" s="78"/>
      <c r="E81" s="78"/>
      <c r="F81" s="78"/>
      <c r="G81" s="78"/>
      <c r="H81" s="65" t="s">
        <v>391</v>
      </c>
      <c r="I81" s="64"/>
    </row>
    <row r="82" spans="1:9" ht="25.5">
      <c r="A82" s="7" t="s">
        <v>73</v>
      </c>
      <c r="B82" s="3" t="s">
        <v>74</v>
      </c>
      <c r="C82" s="75" t="s">
        <v>75</v>
      </c>
      <c r="D82" s="78"/>
      <c r="E82" s="78"/>
      <c r="F82" s="78"/>
      <c r="G82" s="78"/>
      <c r="H82" s="79" t="s">
        <v>392</v>
      </c>
      <c r="I82" s="64"/>
    </row>
    <row r="83" spans="1:9" ht="51">
      <c r="A83" s="7" t="s">
        <v>76</v>
      </c>
      <c r="B83" s="3" t="s">
        <v>77</v>
      </c>
      <c r="C83" s="75" t="s">
        <v>78</v>
      </c>
      <c r="D83" s="78"/>
      <c r="E83" s="78"/>
      <c r="F83" s="78"/>
      <c r="G83" s="78"/>
      <c r="H83" s="79" t="s">
        <v>393</v>
      </c>
      <c r="I83" s="64"/>
    </row>
    <row r="84" spans="1:9" ht="25.5" hidden="1" outlineLevel="1">
      <c r="A84" s="66" t="str">
        <f>'rakendusplaan 2016-2020'!B90</f>
        <v xml:space="preserve">Meede 6.1. </v>
      </c>
      <c r="B84" s="3" t="str">
        <f>'rakendusplaan 2016-2020'!C90</f>
        <v>Teisest rahvusest elanike tööhõivevõime tõstmine</v>
      </c>
      <c r="C84" s="75"/>
      <c r="D84" s="76">
        <f>'rakendusplaan 2016-2020'!Q90</f>
        <v>0</v>
      </c>
      <c r="E84" s="76">
        <f>'rakendusplaan 2016-2020'!W90</f>
        <v>0</v>
      </c>
      <c r="F84" s="76">
        <f>'rakendusplaan 2016-2020'!AC90</f>
        <v>0</v>
      </c>
      <c r="G84" s="76">
        <f>'rakendusplaan 2016-2020'!AI90</f>
        <v>0</v>
      </c>
      <c r="H84" s="76">
        <f>'rakendusplaan 2016-2020'!AO90</f>
        <v>0</v>
      </c>
      <c r="I84" s="34">
        <f>SUM(D84:H84)</f>
        <v>0</v>
      </c>
    </row>
    <row r="85" spans="1:9" ht="25.5" hidden="1" outlineLevel="1">
      <c r="A85" s="66" t="str">
        <f>'rakendusplaan 2016-2020'!B96</f>
        <v xml:space="preserve">Meede 6.2. </v>
      </c>
      <c r="B85" s="3" t="str">
        <f>'rakendusplaan 2016-2020'!C96</f>
        <v>Eesti keelest erineva emakeelega inimeste riigikeeleoskuse parendamine</v>
      </c>
      <c r="C85" s="75"/>
      <c r="D85" s="76">
        <f>'rakendusplaan 2016-2020'!Q96</f>
        <v>0</v>
      </c>
      <c r="E85" s="76">
        <f>'rakendusplaan 2016-2020'!W96</f>
        <v>0</v>
      </c>
      <c r="F85" s="76">
        <f>'rakendusplaan 2016-2020'!AC96</f>
        <v>0</v>
      </c>
      <c r="G85" s="76">
        <f>'rakendusplaan 2016-2020'!AI96</f>
        <v>0</v>
      </c>
      <c r="H85" s="76">
        <f>'rakendusplaan 2016-2020'!AO96</f>
        <v>0</v>
      </c>
      <c r="I85" s="34">
        <f>SUM(D85:H85)</f>
        <v>0</v>
      </c>
    </row>
    <row r="86" spans="1:9" ht="38.25" hidden="1" outlineLevel="1">
      <c r="A86" s="66" t="s">
        <v>79</v>
      </c>
      <c r="B86" s="3" t="str">
        <f>'rakendusplaan 2016-2020'!D91</f>
        <v>Tööturuteenustel osalejate osakaal registreeritud töötute hulgas, kelle põhiline suhtluskeel ei ole eesti keel (keskmiselt kuus)</v>
      </c>
      <c r="C86" s="75" t="str">
        <f>'rakendusplaan 2016-2020'!H91</f>
        <v>2014: 30,9%</v>
      </c>
      <c r="D86" s="78"/>
      <c r="E86" s="78"/>
      <c r="F86" s="78"/>
      <c r="G86" s="78"/>
      <c r="H86" s="79" t="str">
        <f>'rakendusplaan 2016-2020'!AO91</f>
        <v>35%</v>
      </c>
      <c r="I86" s="64"/>
    </row>
    <row r="87" spans="1:9" ht="25.5" hidden="1" outlineLevel="1">
      <c r="A87" s="66" t="s">
        <v>80</v>
      </c>
      <c r="B87" s="3" t="str">
        <f>'rakendusplaan 2016-2020'!D97</f>
        <v>Eesti keele tasemeeksami (tasemed A2-C1) sooritanute osakaal eksamil käinutest (%)</v>
      </c>
      <c r="C87" s="75" t="str">
        <f>'rakendusplaan 2016-2020'!H97</f>
        <v>2014: 51,5%</v>
      </c>
      <c r="D87" s="78"/>
      <c r="E87" s="78"/>
      <c r="F87" s="78"/>
      <c r="G87" s="78"/>
      <c r="H87" s="79" t="str">
        <f>'rakendusplaan 2016-2020'!AO97</f>
        <v>55%</v>
      </c>
      <c r="I87" s="64"/>
    </row>
    <row r="88" spans="1:9" ht="25.5" collapsed="1">
      <c r="A88" s="63"/>
      <c r="B88" s="12" t="str">
        <f>'rakendusplaan 2016-2020'!C101</f>
        <v>Lõimumiskava arendamis- ja administreerimiskulud</v>
      </c>
      <c r="C88" s="73"/>
      <c r="D88" s="74">
        <f>D112</f>
        <v>805091</v>
      </c>
      <c r="E88" s="74">
        <f>E112</f>
        <v>878013</v>
      </c>
      <c r="F88" s="74">
        <f>F112</f>
        <v>765673</v>
      </c>
      <c r="G88" s="74">
        <f>G112</f>
        <v>765649</v>
      </c>
      <c r="H88" s="74">
        <f>H112</f>
        <v>849883</v>
      </c>
      <c r="I88" s="64">
        <f>SUM(D88:H88)</f>
        <v>4064309</v>
      </c>
    </row>
    <row r="89" spans="1:9" ht="12.75">
      <c r="A89" s="82"/>
      <c r="B89" s="12" t="s">
        <v>81</v>
      </c>
      <c r="C89" s="12"/>
      <c r="D89" s="64">
        <f>D2+D22+D41+D52+D67+D75+D88</f>
        <v>11956375.939999999</v>
      </c>
      <c r="E89" s="64">
        <f>E2+E22+E41+E52+E67+E75+E88</f>
        <v>12109722.52</v>
      </c>
      <c r="F89" s="64">
        <f>F2+F22+F41+F52+F67+F75+F88</f>
        <v>11472946.9</v>
      </c>
      <c r="G89" s="64">
        <f>G2+G22+G41+G52+G67+G75+G88</f>
        <v>11017678</v>
      </c>
      <c r="H89" s="64">
        <f>H2+H22+H41+H52+H67+H75+H88</f>
        <v>11214966.700625001</v>
      </c>
      <c r="I89" s="64">
        <f>SUM(D89:H89)</f>
        <v>57771690.060625002</v>
      </c>
    </row>
    <row r="90" spans="1:9" ht="12.75"/>
    <row r="91" spans="1:9" ht="15">
      <c r="C91"/>
      <c r="D91"/>
      <c r="E91"/>
      <c r="F91"/>
      <c r="G91"/>
      <c r="H91"/>
      <c r="I91"/>
    </row>
    <row r="92" spans="1:9" ht="15" hidden="1" outlineLevel="1">
      <c r="C92" s="149" t="s">
        <v>83</v>
      </c>
      <c r="D92" t="s">
        <v>84</v>
      </c>
      <c r="E92" t="s">
        <v>85</v>
      </c>
      <c r="F92" t="s">
        <v>86</v>
      </c>
      <c r="G92" t="s">
        <v>87</v>
      </c>
      <c r="H92" t="s">
        <v>88</v>
      </c>
      <c r="I92" t="s">
        <v>515</v>
      </c>
    </row>
    <row r="93" spans="1:9" ht="15" hidden="1" outlineLevel="1">
      <c r="C93" s="150">
        <v>1</v>
      </c>
      <c r="D93" s="152">
        <v>7718492</v>
      </c>
      <c r="E93" s="152">
        <v>7183061</v>
      </c>
      <c r="F93" s="152">
        <v>7169061</v>
      </c>
      <c r="G93" s="152">
        <v>7154061</v>
      </c>
      <c r="H93" s="152">
        <v>7103728</v>
      </c>
      <c r="I93" s="152">
        <v>36328403</v>
      </c>
    </row>
    <row r="94" spans="1:9" ht="15" hidden="1" outlineLevel="1">
      <c r="C94" s="151" t="s">
        <v>107</v>
      </c>
      <c r="D94" s="152">
        <v>7393992</v>
      </c>
      <c r="E94" s="152">
        <v>6878561</v>
      </c>
      <c r="F94" s="152">
        <v>6864561</v>
      </c>
      <c r="G94" s="152">
        <v>6849561</v>
      </c>
      <c r="H94" s="152">
        <v>6837226</v>
      </c>
      <c r="I94" s="152">
        <v>34823901</v>
      </c>
    </row>
    <row r="95" spans="1:9" ht="15" hidden="1" outlineLevel="1">
      <c r="C95" s="151" t="s">
        <v>89</v>
      </c>
      <c r="D95" s="152">
        <v>159500</v>
      </c>
      <c r="E95" s="152">
        <v>159500</v>
      </c>
      <c r="F95" s="152">
        <v>159500</v>
      </c>
      <c r="G95" s="152">
        <v>159500</v>
      </c>
      <c r="H95" s="152">
        <v>159500</v>
      </c>
      <c r="I95" s="152">
        <v>797500</v>
      </c>
    </row>
    <row r="96" spans="1:9" ht="15" hidden="1" outlineLevel="1">
      <c r="C96" s="151" t="s">
        <v>128</v>
      </c>
      <c r="D96" s="152">
        <v>165000</v>
      </c>
      <c r="E96" s="152">
        <v>145000</v>
      </c>
      <c r="F96" s="152">
        <v>145000</v>
      </c>
      <c r="G96" s="152">
        <v>145000</v>
      </c>
      <c r="H96" s="152">
        <v>107002</v>
      </c>
      <c r="I96" s="152">
        <v>707002</v>
      </c>
    </row>
    <row r="97" spans="3:9" ht="15" hidden="1" outlineLevel="1">
      <c r="C97" s="150">
        <v>2</v>
      </c>
      <c r="D97" s="152">
        <v>2364424</v>
      </c>
      <c r="E97" s="152">
        <v>2576291</v>
      </c>
      <c r="F97" s="152">
        <v>1856768</v>
      </c>
      <c r="G97" s="152">
        <v>1406667</v>
      </c>
      <c r="H97" s="152">
        <v>1321501</v>
      </c>
      <c r="I97" s="152">
        <v>9525651</v>
      </c>
    </row>
    <row r="98" spans="3:9" ht="15" hidden="1" outlineLevel="1">
      <c r="C98" s="151" t="s">
        <v>107</v>
      </c>
      <c r="D98" s="152">
        <v>2052395</v>
      </c>
      <c r="E98" s="152">
        <v>2234262</v>
      </c>
      <c r="F98" s="152">
        <v>1544739</v>
      </c>
      <c r="G98" s="152">
        <v>1094638</v>
      </c>
      <c r="H98" s="152">
        <v>1009472</v>
      </c>
      <c r="I98" s="152">
        <v>7935506</v>
      </c>
    </row>
    <row r="99" spans="3:9" ht="15" hidden="1" outlineLevel="1">
      <c r="C99" s="151" t="s">
        <v>141</v>
      </c>
      <c r="D99" s="152">
        <v>312029</v>
      </c>
      <c r="E99" s="152">
        <v>312029</v>
      </c>
      <c r="F99" s="152">
        <v>312029</v>
      </c>
      <c r="G99" s="152">
        <v>312029</v>
      </c>
      <c r="H99" s="152">
        <v>312029</v>
      </c>
      <c r="I99" s="152">
        <v>1560145</v>
      </c>
    </row>
    <row r="100" spans="3:9" ht="15" hidden="1" outlineLevel="1">
      <c r="C100" s="151" t="s">
        <v>144</v>
      </c>
      <c r="D100" s="152">
        <v>0</v>
      </c>
      <c r="E100" s="152">
        <v>30000</v>
      </c>
      <c r="F100" s="152">
        <v>0</v>
      </c>
      <c r="G100" s="152">
        <v>0</v>
      </c>
      <c r="H100" s="152">
        <v>0</v>
      </c>
      <c r="I100" s="152">
        <v>30000</v>
      </c>
    </row>
    <row r="101" spans="3:9" ht="15" hidden="1" outlineLevel="1">
      <c r="C101" s="151" t="s">
        <v>128</v>
      </c>
      <c r="D101" s="152">
        <v>0</v>
      </c>
      <c r="E101" s="152">
        <v>0</v>
      </c>
      <c r="F101" s="152">
        <v>0</v>
      </c>
      <c r="G101" s="152">
        <v>0</v>
      </c>
      <c r="H101" s="152">
        <v>0</v>
      </c>
      <c r="I101" s="152">
        <v>0</v>
      </c>
    </row>
    <row r="102" spans="3:9" ht="15" hidden="1" outlineLevel="1">
      <c r="C102" s="150">
        <v>3</v>
      </c>
      <c r="D102" s="152">
        <v>1068368.94</v>
      </c>
      <c r="E102" s="152">
        <v>1472357.52</v>
      </c>
      <c r="F102" s="152">
        <v>1681444.9</v>
      </c>
      <c r="G102" s="152">
        <v>1691301</v>
      </c>
      <c r="H102" s="152">
        <v>1939854.7006250001</v>
      </c>
      <c r="I102" s="152">
        <v>7853327.0606249999</v>
      </c>
    </row>
    <row r="103" spans="3:9" ht="15" hidden="1" outlineLevel="1">
      <c r="C103" s="151" t="s">
        <v>128</v>
      </c>
      <c r="D103" s="152">
        <v>1068368.94</v>
      </c>
      <c r="E103" s="152">
        <v>1472357.52</v>
      </c>
      <c r="F103" s="152">
        <v>1681444.9</v>
      </c>
      <c r="G103" s="152">
        <v>1691301</v>
      </c>
      <c r="H103" s="152">
        <v>1939854.7006250001</v>
      </c>
      <c r="I103" s="152">
        <v>7853327.0606249999</v>
      </c>
    </row>
    <row r="104" spans="3:9" ht="15" hidden="1" outlineLevel="1">
      <c r="C104" s="150">
        <v>4</v>
      </c>
      <c r="D104" s="152">
        <v>0</v>
      </c>
      <c r="E104" s="152">
        <v>0</v>
      </c>
      <c r="F104" s="152">
        <v>0</v>
      </c>
      <c r="G104" s="152">
        <v>0</v>
      </c>
      <c r="H104" s="152">
        <v>0</v>
      </c>
      <c r="I104" s="152">
        <v>0</v>
      </c>
    </row>
    <row r="105" spans="3:9" ht="15" hidden="1" outlineLevel="1">
      <c r="C105" s="151" t="s">
        <v>89</v>
      </c>
      <c r="D105" s="152">
        <v>0</v>
      </c>
      <c r="E105" s="152">
        <v>0</v>
      </c>
      <c r="F105" s="152">
        <v>0</v>
      </c>
      <c r="G105" s="152">
        <v>0</v>
      </c>
      <c r="H105" s="152">
        <v>0</v>
      </c>
      <c r="I105" s="152">
        <v>0</v>
      </c>
    </row>
    <row r="106" spans="3:9" ht="15" hidden="1" outlineLevel="1">
      <c r="C106" s="150">
        <v>5</v>
      </c>
      <c r="D106" s="152">
        <v>0</v>
      </c>
      <c r="E106" s="152">
        <v>0</v>
      </c>
      <c r="F106" s="152">
        <v>0</v>
      </c>
      <c r="G106" s="152">
        <v>0</v>
      </c>
      <c r="H106" s="152">
        <v>0</v>
      </c>
      <c r="I106" s="152">
        <v>0</v>
      </c>
    </row>
    <row r="107" spans="3:9" ht="15" hidden="1" outlineLevel="1">
      <c r="C107" s="151" t="s">
        <v>89</v>
      </c>
      <c r="D107" s="152">
        <v>0</v>
      </c>
      <c r="E107" s="152">
        <v>0</v>
      </c>
      <c r="F107" s="152">
        <v>0</v>
      </c>
      <c r="G107" s="152">
        <v>0</v>
      </c>
      <c r="H107" s="152">
        <v>0</v>
      </c>
      <c r="I107" s="152">
        <v>0</v>
      </c>
    </row>
    <row r="108" spans="3:9" ht="15" hidden="1" outlineLevel="1">
      <c r="C108" s="150">
        <v>6</v>
      </c>
      <c r="D108" s="152">
        <v>0</v>
      </c>
      <c r="E108" s="152">
        <v>0</v>
      </c>
      <c r="F108" s="152">
        <v>0</v>
      </c>
      <c r="G108" s="152">
        <v>0</v>
      </c>
      <c r="H108" s="152">
        <v>0</v>
      </c>
      <c r="I108" s="152">
        <v>0</v>
      </c>
    </row>
    <row r="109" spans="3:9" ht="15" hidden="1" outlineLevel="1">
      <c r="C109" s="151" t="s">
        <v>89</v>
      </c>
      <c r="D109" s="152">
        <v>0</v>
      </c>
      <c r="E109" s="152">
        <v>0</v>
      </c>
      <c r="F109" s="152">
        <v>0</v>
      </c>
      <c r="G109" s="152">
        <v>0</v>
      </c>
      <c r="H109" s="152">
        <v>0</v>
      </c>
      <c r="I109" s="152">
        <v>0</v>
      </c>
    </row>
    <row r="110" spans="3:9" ht="15" hidden="1" outlineLevel="1">
      <c r="C110" s="151" t="s">
        <v>137</v>
      </c>
      <c r="D110" s="152">
        <v>0</v>
      </c>
      <c r="E110" s="152">
        <v>0</v>
      </c>
      <c r="F110" s="152">
        <v>0</v>
      </c>
      <c r="G110" s="152">
        <v>0</v>
      </c>
      <c r="H110" s="152">
        <v>0</v>
      </c>
      <c r="I110" s="152">
        <v>0</v>
      </c>
    </row>
    <row r="111" spans="3:9" ht="15" hidden="1" outlineLevel="1">
      <c r="C111" s="150">
        <v>7</v>
      </c>
      <c r="D111" s="152">
        <v>805091</v>
      </c>
      <c r="E111" s="152">
        <v>878013</v>
      </c>
      <c r="F111" s="152">
        <v>765673</v>
      </c>
      <c r="G111" s="152">
        <v>765649</v>
      </c>
      <c r="H111" s="152">
        <v>849883</v>
      </c>
      <c r="I111" s="152">
        <v>4064309</v>
      </c>
    </row>
    <row r="112" spans="3:9" ht="15" hidden="1" outlineLevel="1">
      <c r="C112" s="151" t="s">
        <v>107</v>
      </c>
      <c r="D112" s="152">
        <v>805091</v>
      </c>
      <c r="E112" s="152">
        <v>878013</v>
      </c>
      <c r="F112" s="152">
        <v>765673</v>
      </c>
      <c r="G112" s="152">
        <v>765649</v>
      </c>
      <c r="H112" s="152">
        <v>849883</v>
      </c>
      <c r="I112" s="152">
        <v>4064309</v>
      </c>
    </row>
    <row r="113" spans="1:26" ht="15" hidden="1" outlineLevel="1">
      <c r="C113" s="150" t="s">
        <v>146</v>
      </c>
      <c r="D113" s="152">
        <v>11956375.939999999</v>
      </c>
      <c r="E113" s="152">
        <v>12109722.52</v>
      </c>
      <c r="F113" s="152">
        <v>11472946.9</v>
      </c>
      <c r="G113" s="152">
        <v>11017678</v>
      </c>
      <c r="H113" s="152">
        <v>11214966.700625001</v>
      </c>
      <c r="I113" s="152">
        <v>57771690.060625002</v>
      </c>
    </row>
    <row r="114" spans="1:26" ht="15" collapsed="1">
      <c r="C114"/>
      <c r="D114"/>
      <c r="E114"/>
      <c r="F114"/>
      <c r="G114"/>
      <c r="H114"/>
      <c r="I114"/>
    </row>
    <row r="115" spans="1:26" ht="15">
      <c r="A115"/>
      <c r="B115"/>
      <c r="C115"/>
      <c r="D115"/>
      <c r="E115"/>
    </row>
    <row r="116" spans="1:26" ht="15">
      <c r="A116"/>
      <c r="B116"/>
      <c r="C116"/>
      <c r="D116"/>
      <c r="E116"/>
    </row>
    <row r="117" spans="1:26" ht="15" hidden="1" outlineLevel="1">
      <c r="A117"/>
      <c r="B117"/>
      <c r="C117"/>
      <c r="D117"/>
      <c r="E117"/>
      <c r="F117"/>
      <c r="G117"/>
      <c r="H117"/>
      <c r="I117"/>
      <c r="J117"/>
      <c r="K117"/>
      <c r="L117"/>
      <c r="M117"/>
      <c r="N117"/>
      <c r="O117"/>
      <c r="P117"/>
      <c r="Q117"/>
      <c r="R117"/>
      <c r="S117"/>
      <c r="T117"/>
      <c r="U117"/>
      <c r="V117"/>
      <c r="W117"/>
      <c r="X117"/>
      <c r="Y117"/>
      <c r="Z117"/>
    </row>
    <row r="118" spans="1:26" ht="13.5" hidden="1" outlineLevel="1">
      <c r="A118" s="145"/>
      <c r="B118" s="146" t="s">
        <v>82</v>
      </c>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3.5" hidden="1" outlineLevel="1">
      <c r="A119" s="146" t="s">
        <v>83</v>
      </c>
      <c r="B119" s="145" t="s">
        <v>402</v>
      </c>
      <c r="C119" s="145" t="s">
        <v>403</v>
      </c>
      <c r="D119" s="145" t="s">
        <v>404</v>
      </c>
      <c r="E119" s="145" t="s">
        <v>405</v>
      </c>
      <c r="F119" s="145" t="s">
        <v>406</v>
      </c>
      <c r="G119" s="145" t="s">
        <v>407</v>
      </c>
      <c r="H119" s="145" t="s">
        <v>408</v>
      </c>
      <c r="I119" s="145" t="s">
        <v>409</v>
      </c>
      <c r="J119" s="145" t="s">
        <v>410</v>
      </c>
      <c r="K119" s="145" t="s">
        <v>411</v>
      </c>
      <c r="L119" s="145" t="s">
        <v>412</v>
      </c>
      <c r="M119" s="145" t="s">
        <v>413</v>
      </c>
      <c r="N119" s="145" t="s">
        <v>414</v>
      </c>
      <c r="O119" s="145" t="s">
        <v>415</v>
      </c>
      <c r="P119" s="145" t="s">
        <v>416</v>
      </c>
      <c r="Q119" s="145" t="s">
        <v>417</v>
      </c>
      <c r="R119" s="145" t="s">
        <v>418</v>
      </c>
      <c r="S119" s="145" t="s">
        <v>419</v>
      </c>
      <c r="T119" s="145" t="s">
        <v>420</v>
      </c>
      <c r="U119" s="145" t="s">
        <v>421</v>
      </c>
      <c r="V119" s="145" t="s">
        <v>422</v>
      </c>
      <c r="W119" s="145" t="s">
        <v>423</v>
      </c>
      <c r="X119" s="145" t="s">
        <v>424</v>
      </c>
      <c r="Y119" s="145" t="s">
        <v>425</v>
      </c>
      <c r="Z119" s="145" t="s">
        <v>426</v>
      </c>
    </row>
    <row r="120" spans="1:26" ht="13.5" hidden="1" outlineLevel="1">
      <c r="A120" s="147" t="s">
        <v>89</v>
      </c>
      <c r="B120" s="148">
        <v>159500</v>
      </c>
      <c r="C120" s="148"/>
      <c r="D120" s="148"/>
      <c r="E120" s="148"/>
      <c r="F120" s="148"/>
      <c r="G120" s="148">
        <v>159500</v>
      </c>
      <c r="H120" s="148"/>
      <c r="I120" s="148"/>
      <c r="J120" s="148"/>
      <c r="K120" s="148"/>
      <c r="L120" s="148">
        <v>159500</v>
      </c>
      <c r="M120" s="148"/>
      <c r="N120" s="148"/>
      <c r="O120" s="148"/>
      <c r="P120" s="148"/>
      <c r="Q120" s="148">
        <v>159500</v>
      </c>
      <c r="R120" s="148"/>
      <c r="S120" s="148"/>
      <c r="T120" s="148"/>
      <c r="U120" s="148"/>
      <c r="V120" s="148">
        <v>159500</v>
      </c>
      <c r="W120" s="148"/>
      <c r="X120" s="148"/>
      <c r="Y120" s="148"/>
      <c r="Z120" s="148"/>
    </row>
    <row r="121" spans="1:26" ht="13.5" hidden="1" outlineLevel="1">
      <c r="A121" s="147" t="s">
        <v>141</v>
      </c>
      <c r="B121" s="148">
        <v>312029</v>
      </c>
      <c r="C121" s="148"/>
      <c r="D121" s="148"/>
      <c r="E121" s="148"/>
      <c r="F121" s="148"/>
      <c r="G121" s="148">
        <v>312029</v>
      </c>
      <c r="H121" s="148"/>
      <c r="I121" s="148"/>
      <c r="J121" s="148"/>
      <c r="K121" s="148"/>
      <c r="L121" s="148">
        <v>312029</v>
      </c>
      <c r="M121" s="148"/>
      <c r="N121" s="148"/>
      <c r="O121" s="148"/>
      <c r="P121" s="148"/>
      <c r="Q121" s="148">
        <v>312029</v>
      </c>
      <c r="R121" s="148"/>
      <c r="S121" s="148"/>
      <c r="T121" s="148"/>
      <c r="U121" s="148"/>
      <c r="V121" s="148">
        <v>312029</v>
      </c>
      <c r="W121" s="148"/>
      <c r="X121" s="148"/>
      <c r="Y121" s="148"/>
      <c r="Z121" s="148"/>
    </row>
    <row r="122" spans="1:26" ht="13.5" hidden="1" outlineLevel="1">
      <c r="A122" s="147" t="s">
        <v>107</v>
      </c>
      <c r="B122" s="148">
        <v>7756700</v>
      </c>
      <c r="C122" s="148">
        <v>321184.8</v>
      </c>
      <c r="D122" s="148">
        <v>2173593.2000000002</v>
      </c>
      <c r="E122" s="148"/>
      <c r="F122" s="148"/>
      <c r="G122" s="148">
        <v>7660561</v>
      </c>
      <c r="H122" s="148">
        <v>349541.25</v>
      </c>
      <c r="I122" s="148">
        <v>1980733.75</v>
      </c>
      <c r="J122" s="148"/>
      <c r="K122" s="148"/>
      <c r="L122" s="148">
        <v>7636561</v>
      </c>
      <c r="M122" s="148">
        <v>230761.80000000002</v>
      </c>
      <c r="N122" s="148">
        <v>1307650.2</v>
      </c>
      <c r="O122" s="148"/>
      <c r="P122" s="148"/>
      <c r="Q122" s="148">
        <v>7504561</v>
      </c>
      <c r="R122" s="148">
        <v>180793.05</v>
      </c>
      <c r="S122" s="148">
        <v>1024493.95</v>
      </c>
      <c r="T122" s="148"/>
      <c r="U122" s="148"/>
      <c r="V122" s="148">
        <v>7589561</v>
      </c>
      <c r="W122" s="148">
        <v>166053</v>
      </c>
      <c r="X122" s="148">
        <v>940967</v>
      </c>
      <c r="Y122" s="148"/>
      <c r="Z122" s="148"/>
    </row>
    <row r="123" spans="1:26" ht="13.5" hidden="1" outlineLevel="1">
      <c r="A123" s="147" t="s">
        <v>144</v>
      </c>
      <c r="B123" s="148"/>
      <c r="C123" s="148"/>
      <c r="D123" s="148"/>
      <c r="E123" s="148"/>
      <c r="F123" s="148"/>
      <c r="G123" s="148">
        <v>30000</v>
      </c>
      <c r="H123" s="148"/>
      <c r="I123" s="148"/>
      <c r="J123" s="148"/>
      <c r="K123" s="148"/>
      <c r="L123" s="148"/>
      <c r="M123" s="148"/>
      <c r="N123" s="148"/>
      <c r="O123" s="148"/>
      <c r="P123" s="148"/>
      <c r="Q123" s="148"/>
      <c r="R123" s="148"/>
      <c r="S123" s="148"/>
      <c r="T123" s="148"/>
      <c r="U123" s="148"/>
      <c r="V123" s="148"/>
      <c r="W123" s="148"/>
      <c r="X123" s="148"/>
      <c r="Y123" s="148"/>
      <c r="Z123" s="148"/>
    </row>
    <row r="124" spans="1:26" ht="13.5" hidden="1" outlineLevel="1">
      <c r="A124" s="147" t="s">
        <v>128</v>
      </c>
      <c r="B124" s="148"/>
      <c r="C124" s="148">
        <v>147164.07</v>
      </c>
      <c r="D124" s="148">
        <v>855748.51500000001</v>
      </c>
      <c r="E124" s="148">
        <v>106706.35500000001</v>
      </c>
      <c r="F124" s="148">
        <v>123750</v>
      </c>
      <c r="G124" s="148"/>
      <c r="H124" s="148">
        <v>160853.62799999997</v>
      </c>
      <c r="I124" s="148">
        <v>911503.89199999999</v>
      </c>
      <c r="J124" s="148">
        <v>136250</v>
      </c>
      <c r="K124" s="148">
        <v>408750</v>
      </c>
      <c r="L124" s="148"/>
      <c r="M124" s="148">
        <v>192216.685</v>
      </c>
      <c r="N124" s="148">
        <v>1089228.2149999999</v>
      </c>
      <c r="O124" s="148">
        <v>136250</v>
      </c>
      <c r="P124" s="148">
        <v>408750</v>
      </c>
      <c r="Q124" s="148"/>
      <c r="R124" s="148">
        <v>193695.15</v>
      </c>
      <c r="S124" s="148">
        <v>1097605.8500000001</v>
      </c>
      <c r="T124" s="148">
        <v>136250</v>
      </c>
      <c r="U124" s="148">
        <v>408750</v>
      </c>
      <c r="V124" s="148"/>
      <c r="W124" s="148">
        <v>215978.10509375003</v>
      </c>
      <c r="X124" s="148">
        <v>1223876.5955312501</v>
      </c>
      <c r="Y124" s="148">
        <v>151750.5</v>
      </c>
      <c r="Z124" s="148">
        <v>455251.5</v>
      </c>
    </row>
    <row r="125" spans="1:26" ht="13.5" hidden="1" outlineLevel="1">
      <c r="A125" s="147" t="s">
        <v>137</v>
      </c>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row>
    <row r="126" spans="1:26" ht="13.5" hidden="1" outlineLevel="1">
      <c r="A126" s="147" t="s">
        <v>146</v>
      </c>
      <c r="B126" s="148">
        <v>8228229</v>
      </c>
      <c r="C126" s="148">
        <v>468348.87</v>
      </c>
      <c r="D126" s="148">
        <v>3029341.7150000003</v>
      </c>
      <c r="E126" s="148">
        <v>106706.35500000001</v>
      </c>
      <c r="F126" s="148">
        <v>123750</v>
      </c>
      <c r="G126" s="148">
        <v>8162090</v>
      </c>
      <c r="H126" s="148">
        <v>510394.87799999997</v>
      </c>
      <c r="I126" s="148">
        <v>2892237.642</v>
      </c>
      <c r="J126" s="148">
        <v>136250</v>
      </c>
      <c r="K126" s="148">
        <v>408750</v>
      </c>
      <c r="L126" s="148">
        <v>8108090</v>
      </c>
      <c r="M126" s="148">
        <v>422978.48499999999</v>
      </c>
      <c r="N126" s="148">
        <v>2396878.415</v>
      </c>
      <c r="O126" s="148">
        <v>136250</v>
      </c>
      <c r="P126" s="148">
        <v>408750</v>
      </c>
      <c r="Q126" s="148">
        <v>7976090</v>
      </c>
      <c r="R126" s="148">
        <v>374488.19999999995</v>
      </c>
      <c r="S126" s="148">
        <v>2122099.7999999998</v>
      </c>
      <c r="T126" s="148">
        <v>136250</v>
      </c>
      <c r="U126" s="148">
        <v>408750</v>
      </c>
      <c r="V126" s="148">
        <v>8061090</v>
      </c>
      <c r="W126" s="148">
        <v>382031.10509375005</v>
      </c>
      <c r="X126" s="148">
        <v>2164843.5955312504</v>
      </c>
      <c r="Y126" s="148">
        <v>151750.5</v>
      </c>
      <c r="Z126" s="148">
        <v>455251.5</v>
      </c>
    </row>
    <row r="127" spans="1:26" ht="13.5" hidden="1" outlineLevel="1">
      <c r="A127" s="127"/>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row>
    <row r="128" spans="1:26" ht="15" hidden="1" outlineLevel="1">
      <c r="A128" s="127"/>
      <c r="B128" s="130" t="s">
        <v>427</v>
      </c>
      <c r="C128" s="130" t="s">
        <v>428</v>
      </c>
      <c r="D128" s="130" t="s">
        <v>430</v>
      </c>
      <c r="E128" s="130" t="s">
        <v>429</v>
      </c>
      <c r="F128" s="130" t="s">
        <v>431</v>
      </c>
      <c r="G128" s="130" t="s">
        <v>432</v>
      </c>
      <c r="J128"/>
      <c r="K128"/>
      <c r="L128"/>
      <c r="M128"/>
      <c r="N128"/>
      <c r="O128"/>
      <c r="P128"/>
      <c r="Q128"/>
      <c r="R128"/>
      <c r="S128"/>
      <c r="T128"/>
      <c r="U128"/>
      <c r="V128"/>
      <c r="W128"/>
      <c r="X128"/>
      <c r="Y128"/>
      <c r="Z128"/>
    </row>
    <row r="129" spans="1:7" ht="13.5" hidden="1" outlineLevel="1">
      <c r="A129" s="132" t="s">
        <v>194</v>
      </c>
      <c r="B129" s="131">
        <f>B126+G126+L126+Q126+V126</f>
        <v>40535589</v>
      </c>
      <c r="C129" s="131">
        <f t="shared" ref="C129" si="7">C126+H126+M126+R126+W126</f>
        <v>2158241.5380937499</v>
      </c>
      <c r="D129" s="131">
        <f>E126+J126+O126+T126+Y126</f>
        <v>667206.85499999998</v>
      </c>
      <c r="E129" s="131">
        <f>D126+I126+N126+S126+X126</f>
        <v>12605401.167531252</v>
      </c>
      <c r="F129" s="131">
        <f>F126+K126+P126+U126+Z126</f>
        <v>1805251.5</v>
      </c>
      <c r="G129" s="131">
        <f>SUM(B129:F129)</f>
        <v>57771690.060625002</v>
      </c>
    </row>
    <row r="130" spans="1:7" ht="13.5" hidden="1" outlineLevel="1">
      <c r="A130" s="132" t="s">
        <v>433</v>
      </c>
      <c r="B130" s="131">
        <v>17907525</v>
      </c>
      <c r="C130" s="158">
        <v>1753806.7489999998</v>
      </c>
      <c r="D130" s="158"/>
      <c r="E130" s="131">
        <v>6518557.9110000003</v>
      </c>
      <c r="F130" s="131">
        <v>1682919</v>
      </c>
      <c r="G130" s="131">
        <f>SUM(B130:F130)</f>
        <v>27862808.659999996</v>
      </c>
    </row>
    <row r="131" spans="1:7" ht="15" hidden="1" outlineLevel="1">
      <c r="A131" s="127"/>
      <c r="B131" s="126"/>
      <c r="C131"/>
      <c r="D131"/>
      <c r="E131"/>
      <c r="F131"/>
    </row>
    <row r="132" spans="1:7" ht="13.5" hidden="1" outlineLevel="1">
      <c r="A132" s="132" t="s">
        <v>434</v>
      </c>
      <c r="B132" s="130" t="s">
        <v>435</v>
      </c>
      <c r="C132" s="159" t="s">
        <v>436</v>
      </c>
      <c r="D132" s="159"/>
      <c r="E132" s="130" t="s">
        <v>437</v>
      </c>
      <c r="F132" s="130" t="s">
        <v>438</v>
      </c>
      <c r="G132" s="129"/>
    </row>
    <row r="133" spans="1:7" ht="13.5" hidden="1" outlineLevel="1">
      <c r="A133" s="132" t="s">
        <v>194</v>
      </c>
      <c r="B133" s="131">
        <f>B129/5</f>
        <v>8107117.7999999998</v>
      </c>
      <c r="C133" s="158">
        <f>(C129+D129)/5</f>
        <v>565089.67861874995</v>
      </c>
      <c r="D133" s="158"/>
      <c r="E133" s="131">
        <f t="shared" ref="E133:F133" si="8">E129/5</f>
        <v>2521080.2335062502</v>
      </c>
      <c r="F133" s="131">
        <f t="shared" si="8"/>
        <v>361050.3</v>
      </c>
    </row>
    <row r="134" spans="1:7" ht="13.5" hidden="1" outlineLevel="1">
      <c r="A134" s="132" t="s">
        <v>433</v>
      </c>
      <c r="B134" s="131">
        <f>B130/4</f>
        <v>4476881.25</v>
      </c>
      <c r="C134" s="158">
        <f>C130/4</f>
        <v>438451.68724999996</v>
      </c>
      <c r="D134" s="158"/>
      <c r="E134" s="131">
        <f>E130/4</f>
        <v>1629639.4777500001</v>
      </c>
      <c r="F134" s="131">
        <f>F130/4</f>
        <v>420729.75</v>
      </c>
    </row>
    <row r="135" spans="1:7" ht="15" hidden="1" outlineLevel="1">
      <c r="A135"/>
      <c r="B135"/>
      <c r="C135"/>
      <c r="D135"/>
      <c r="E135"/>
      <c r="F135"/>
    </row>
    <row r="136" spans="1:7" ht="15" collapsed="1">
      <c r="A136"/>
      <c r="B136"/>
      <c r="C136"/>
      <c r="D136"/>
      <c r="E136"/>
      <c r="F136"/>
    </row>
    <row r="137" spans="1:7" ht="15">
      <c r="A137"/>
      <c r="B137"/>
      <c r="C137"/>
      <c r="D137"/>
      <c r="E137"/>
      <c r="F137"/>
    </row>
    <row r="138" spans="1:7" ht="15">
      <c r="A138"/>
      <c r="B138"/>
    </row>
    <row r="139" spans="1:7" ht="15">
      <c r="A139"/>
      <c r="B139"/>
    </row>
    <row r="140" spans="1:7" ht="15">
      <c r="A140"/>
      <c r="B140"/>
    </row>
    <row r="141" spans="1:7" ht="15">
      <c r="A141"/>
      <c r="B141"/>
    </row>
    <row r="142" spans="1:7" ht="15">
      <c r="A142"/>
      <c r="B142"/>
    </row>
    <row r="143" spans="1:7" ht="15">
      <c r="A143"/>
      <c r="B143"/>
    </row>
    <row r="144" spans="1:7" ht="15">
      <c r="A144"/>
      <c r="B144"/>
    </row>
    <row r="145" spans="1:2" ht="15">
      <c r="A145"/>
      <c r="B145"/>
    </row>
    <row r="146" spans="1:2" ht="15">
      <c r="A146"/>
      <c r="B146"/>
    </row>
    <row r="147" spans="1:2" ht="15">
      <c r="A147"/>
      <c r="B147"/>
    </row>
    <row r="148" spans="1:2" ht="15">
      <c r="A148"/>
      <c r="B148"/>
    </row>
    <row r="149" spans="1:2" ht="15">
      <c r="A149"/>
      <c r="B149"/>
    </row>
    <row r="150" spans="1:2" ht="15">
      <c r="A150"/>
      <c r="B150"/>
    </row>
    <row r="151" spans="1:2" ht="15">
      <c r="A151"/>
      <c r="B151"/>
    </row>
    <row r="152" spans="1:2" ht="15">
      <c r="A152"/>
      <c r="B152"/>
    </row>
    <row r="153" spans="1:2" ht="15">
      <c r="A153"/>
      <c r="B153"/>
    </row>
    <row r="154" spans="1:2" ht="15">
      <c r="A154"/>
      <c r="B154"/>
    </row>
    <row r="155" spans="1:2" ht="15">
      <c r="A155"/>
      <c r="B155"/>
    </row>
    <row r="156" spans="1:2" ht="15">
      <c r="A156"/>
      <c r="B156"/>
    </row>
    <row r="157" spans="1:2" ht="15">
      <c r="A157"/>
      <c r="B157"/>
    </row>
    <row r="158" spans="1:2" ht="15">
      <c r="A158"/>
      <c r="B158"/>
    </row>
    <row r="159" spans="1:2" ht="15">
      <c r="A159"/>
      <c r="B159"/>
    </row>
    <row r="160" spans="1:2" ht="15">
      <c r="A160"/>
      <c r="B160"/>
    </row>
    <row r="161" spans="1:9" ht="15">
      <c r="A161"/>
      <c r="B161"/>
      <c r="C161"/>
      <c r="D161"/>
      <c r="E161"/>
      <c r="F161"/>
      <c r="G161"/>
      <c r="H161"/>
      <c r="I161"/>
    </row>
    <row r="162" spans="1:9" ht="12.75"/>
    <row r="163" spans="1:9" ht="12.75"/>
    <row r="164" spans="1:9" ht="12.75"/>
    <row r="165" spans="1:9" ht="12.75"/>
    <row r="166" spans="1:9" ht="12.75"/>
    <row r="167" spans="1:9" ht="12.75"/>
    <row r="168" spans="1:9" ht="12.75"/>
    <row r="169" spans="1:9" ht="12.75"/>
    <row r="170" spans="1:9" ht="12.75"/>
    <row r="171" spans="1:9" ht="12.75"/>
    <row r="172" spans="1:9" ht="12.75"/>
    <row r="173" spans="1:9" ht="12.75"/>
    <row r="174" spans="1:9" ht="12.75"/>
    <row r="175" spans="1:9" ht="12.75"/>
    <row r="176" spans="1:9"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sheetData>
  <mergeCells count="5">
    <mergeCell ref="A1:B1"/>
    <mergeCell ref="C130:D130"/>
    <mergeCell ref="C134:D134"/>
    <mergeCell ref="C133:D133"/>
    <mergeCell ref="C132:D132"/>
  </mergeCells>
  <pageMargins left="0.19685039370078741" right="0.19685039370078741" top="0.43307086614173229" bottom="0.27559055118110237" header="0.19685039370078741" footer="0.11811023622047245"/>
  <pageSetup paperSize="9" scale="63" fitToHeight="2" orientation="portrait" r:id="rId3"/>
  <headerFooter>
    <oddHeader xml:space="preserve">&amp;L&amp;"-,Bold"&amp;12Lõimumisvaldkonna arengukava "Lõimuv Eesti 2020" rakendusplaan aastateks 2016-2020
</oddHeader>
    <oddFooter>&amp;C&amp;P (&amp;N)</oddFooter>
  </headerFooter>
</worksheet>
</file>

<file path=xl/worksheets/sheet2.xml><?xml version="1.0" encoding="utf-8"?>
<worksheet xmlns="http://schemas.openxmlformats.org/spreadsheetml/2006/main" xmlns:r="http://schemas.openxmlformats.org/officeDocument/2006/relationships">
  <dimension ref="A3:B10"/>
  <sheetViews>
    <sheetView workbookViewId="0">
      <selection activeCell="A4" sqref="A4:A9"/>
    </sheetView>
  </sheetViews>
  <sheetFormatPr defaultRowHeight="15"/>
  <cols>
    <col min="1" max="1" width="13.140625" customWidth="1"/>
    <col min="2" max="2" width="20.5703125" customWidth="1"/>
  </cols>
  <sheetData>
    <row r="3" spans="1:2">
      <c r="A3" s="149" t="s">
        <v>83</v>
      </c>
      <c r="B3" t="s">
        <v>515</v>
      </c>
    </row>
    <row r="4" spans="1:2">
      <c r="A4" s="150" t="s">
        <v>89</v>
      </c>
      <c r="B4" s="153">
        <v>797500</v>
      </c>
    </row>
    <row r="5" spans="1:2">
      <c r="A5" s="150" t="s">
        <v>141</v>
      </c>
      <c r="B5" s="153">
        <v>1560145</v>
      </c>
    </row>
    <row r="6" spans="1:2">
      <c r="A6" s="150" t="s">
        <v>107</v>
      </c>
      <c r="B6" s="153">
        <v>46823716</v>
      </c>
    </row>
    <row r="7" spans="1:2">
      <c r="A7" s="150" t="s">
        <v>144</v>
      </c>
      <c r="B7" s="153">
        <v>30000</v>
      </c>
    </row>
    <row r="8" spans="1:2">
      <c r="A8" s="150" t="s">
        <v>128</v>
      </c>
      <c r="B8" s="153">
        <v>8560329.0606249999</v>
      </c>
    </row>
    <row r="9" spans="1:2">
      <c r="A9" s="150" t="s">
        <v>137</v>
      </c>
      <c r="B9" s="153">
        <v>0</v>
      </c>
    </row>
    <row r="10" spans="1:2">
      <c r="A10" s="150" t="s">
        <v>146</v>
      </c>
      <c r="B10" s="153">
        <v>57771690.060625002</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sheetPr>
    <pageSetUpPr fitToPage="1"/>
  </sheetPr>
  <dimension ref="A1:AX122"/>
  <sheetViews>
    <sheetView tabSelected="1" zoomScale="80" zoomScaleNormal="80" zoomScalePageLayoutView="90" workbookViewId="0">
      <pane xSplit="3" ySplit="2" topLeftCell="D3" activePane="bottomRight" state="frozen"/>
      <selection activeCell="G8" activeCellId="2" sqref="G8 AO41 G8"/>
      <selection pane="topRight" activeCell="G8" activeCellId="2" sqref="G8 AO41 G8"/>
      <selection pane="bottomLeft" activeCell="G8" activeCellId="2" sqref="G8 AO41 G8"/>
      <selection pane="bottomRight" activeCell="B13" sqref="B13:D13"/>
    </sheetView>
  </sheetViews>
  <sheetFormatPr defaultColWidth="9.140625" defaultRowHeight="15" outlineLevelCol="1"/>
  <cols>
    <col min="1" max="1" width="3.5703125" style="103" customWidth="1" outlineLevel="1"/>
    <col min="2" max="2" width="10.7109375" style="103" customWidth="1"/>
    <col min="3" max="3" width="56.140625" style="136" customWidth="1"/>
    <col min="4" max="4" width="33" style="103" customWidth="1"/>
    <col min="5" max="5" width="6.7109375" style="105" customWidth="1"/>
    <col min="6" max="6" width="6.5703125" style="105" customWidth="1"/>
    <col min="7" max="7" width="8.42578125" style="103" customWidth="1" collapsed="1"/>
    <col min="8" max="8" width="12.5703125" style="103" customWidth="1"/>
    <col min="9" max="9" width="8.42578125" style="103" hidden="1" customWidth="1" outlineLevel="1"/>
    <col min="10" max="10" width="7.42578125" style="103" hidden="1" customWidth="1" outlineLevel="1"/>
    <col min="11" max="11" width="5.140625" style="103" hidden="1" customWidth="1" outlineLevel="1"/>
    <col min="12" max="12" width="8.5703125" style="106" hidden="1" customWidth="1" outlineLevel="1"/>
    <col min="13" max="13" width="7.5703125" style="106" hidden="1" customWidth="1" outlineLevel="1"/>
    <col min="14" max="15" width="8.5703125" style="106" hidden="1" customWidth="1" outlineLevel="1"/>
    <col min="16" max="16" width="9.140625" style="106" hidden="1" customWidth="1" outlineLevel="1"/>
    <col min="17" max="17" width="9.140625" style="106" customWidth="1" collapsed="1"/>
    <col min="18" max="22" width="9.140625" style="106" hidden="1" customWidth="1" outlineLevel="1"/>
    <col min="23" max="23" width="9.140625" style="106" customWidth="1" collapsed="1"/>
    <col min="24" max="27" width="9.140625" style="106" hidden="1" customWidth="1" outlineLevel="1"/>
    <col min="28" max="28" width="9" style="106" hidden="1" customWidth="1" outlineLevel="1"/>
    <col min="29" max="29" width="9.140625" style="106" customWidth="1" collapsed="1"/>
    <col min="30" max="30" width="9.42578125" style="106" hidden="1" customWidth="1" outlineLevel="1"/>
    <col min="31" max="31" width="7.5703125" style="106" hidden="1" customWidth="1" outlineLevel="1"/>
    <col min="32" max="33" width="8.5703125" style="106" hidden="1" customWidth="1" outlineLevel="1"/>
    <col min="34" max="34" width="7.5703125" style="106" hidden="1" customWidth="1" outlineLevel="1"/>
    <col min="35" max="35" width="9.28515625" style="106" customWidth="1" collapsed="1"/>
    <col min="36" max="36" width="8.7109375" style="106" hidden="1" customWidth="1" outlineLevel="1"/>
    <col min="37" max="37" width="7.5703125" style="106" hidden="1" customWidth="1" outlineLevel="1"/>
    <col min="38" max="39" width="9" style="106" hidden="1" customWidth="1" outlineLevel="1"/>
    <col min="40" max="40" width="7.5703125" style="106" hidden="1" customWidth="1" outlineLevel="1"/>
    <col min="41" max="41" width="11.140625" style="107" customWidth="1" collapsed="1"/>
    <col min="42" max="42" width="10.7109375" style="107" customWidth="1"/>
    <col min="43" max="43" width="19" style="103" customWidth="1"/>
    <col min="44" max="44" width="9.140625" style="103"/>
    <col min="45" max="45" width="17.140625" style="103" bestFit="1" customWidth="1"/>
    <col min="46" max="47" width="9.140625" style="103"/>
    <col min="48" max="48" width="10.85546875" style="103" bestFit="1" customWidth="1"/>
    <col min="49" max="16384" width="9.140625" style="103"/>
  </cols>
  <sheetData>
    <row r="1" spans="1:48" ht="63" customHeight="1">
      <c r="A1" s="36" t="s">
        <v>514</v>
      </c>
      <c r="B1" s="36" t="s">
        <v>147</v>
      </c>
      <c r="C1" s="36" t="s">
        <v>148</v>
      </c>
      <c r="D1" s="36" t="s">
        <v>149</v>
      </c>
      <c r="E1" s="36" t="s">
        <v>150</v>
      </c>
      <c r="F1" s="36" t="s">
        <v>151</v>
      </c>
      <c r="G1" s="36" t="s">
        <v>152</v>
      </c>
      <c r="H1" s="36" t="s">
        <v>153</v>
      </c>
      <c r="I1" s="36" t="s">
        <v>154</v>
      </c>
      <c r="J1" s="36" t="s">
        <v>155</v>
      </c>
      <c r="K1" s="36" t="s">
        <v>156</v>
      </c>
      <c r="L1" s="37" t="s">
        <v>157</v>
      </c>
      <c r="M1" s="37" t="s">
        <v>158</v>
      </c>
      <c r="N1" s="37" t="s">
        <v>159</v>
      </c>
      <c r="O1" s="37" t="s">
        <v>160</v>
      </c>
      <c r="P1" s="37" t="s">
        <v>161</v>
      </c>
      <c r="Q1" s="38">
        <v>2016</v>
      </c>
      <c r="R1" s="37" t="s">
        <v>162</v>
      </c>
      <c r="S1" s="37" t="s">
        <v>163</v>
      </c>
      <c r="T1" s="37" t="s">
        <v>164</v>
      </c>
      <c r="U1" s="37" t="s">
        <v>165</v>
      </c>
      <c r="V1" s="37" t="s">
        <v>166</v>
      </c>
      <c r="W1" s="38">
        <v>2017</v>
      </c>
      <c r="X1" s="38" t="s">
        <v>167</v>
      </c>
      <c r="Y1" s="38" t="s">
        <v>168</v>
      </c>
      <c r="Z1" s="38" t="s">
        <v>169</v>
      </c>
      <c r="AA1" s="38" t="s">
        <v>170</v>
      </c>
      <c r="AB1" s="38" t="s">
        <v>171</v>
      </c>
      <c r="AC1" s="38">
        <v>2018</v>
      </c>
      <c r="AD1" s="38" t="s">
        <v>172</v>
      </c>
      <c r="AE1" s="38" t="s">
        <v>173</v>
      </c>
      <c r="AF1" s="38" t="s">
        <v>174</v>
      </c>
      <c r="AG1" s="38" t="s">
        <v>175</v>
      </c>
      <c r="AH1" s="38" t="s">
        <v>176</v>
      </c>
      <c r="AI1" s="38">
        <v>2019</v>
      </c>
      <c r="AJ1" s="38" t="s">
        <v>177</v>
      </c>
      <c r="AK1" s="38" t="s">
        <v>178</v>
      </c>
      <c r="AL1" s="38" t="s">
        <v>179</v>
      </c>
      <c r="AM1" s="38" t="s">
        <v>180</v>
      </c>
      <c r="AN1" s="38" t="s">
        <v>181</v>
      </c>
      <c r="AO1" s="38">
        <v>2020</v>
      </c>
      <c r="AP1" s="37" t="s">
        <v>182</v>
      </c>
      <c r="AQ1" s="36" t="s">
        <v>183</v>
      </c>
    </row>
    <row r="2" spans="1:48" ht="14.25" customHeight="1">
      <c r="A2" s="83"/>
      <c r="B2" s="83"/>
      <c r="C2" s="84"/>
      <c r="D2" s="84"/>
      <c r="E2" s="36"/>
      <c r="F2" s="36"/>
      <c r="G2" s="83"/>
      <c r="H2" s="84"/>
      <c r="I2" s="83"/>
      <c r="J2" s="83"/>
      <c r="K2" s="83"/>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37"/>
      <c r="AP2" s="37"/>
      <c r="AQ2" s="83"/>
    </row>
    <row r="3" spans="1:48" ht="25.5">
      <c r="A3" s="24"/>
      <c r="B3" s="24" t="s">
        <v>184</v>
      </c>
      <c r="C3" s="85" t="s">
        <v>185</v>
      </c>
      <c r="D3" s="57"/>
      <c r="E3" s="58"/>
      <c r="F3" s="58"/>
      <c r="G3" s="59"/>
      <c r="H3" s="86"/>
      <c r="I3" s="59"/>
      <c r="J3" s="59"/>
      <c r="K3" s="59"/>
      <c r="L3" s="29">
        <f t="shared" ref="L3:AI3" si="0">SUBTOTAL(9,L4:L31)</f>
        <v>7210200</v>
      </c>
      <c r="M3" s="29">
        <f t="shared" si="0"/>
        <v>51493.8</v>
      </c>
      <c r="N3" s="29">
        <f t="shared" si="0"/>
        <v>291798.2</v>
      </c>
      <c r="O3" s="29">
        <f t="shared" ref="O3" si="1">SUBTOTAL(9,O4:O31)</f>
        <v>41250</v>
      </c>
      <c r="P3" s="29">
        <f t="shared" si="0"/>
        <v>123750</v>
      </c>
      <c r="Q3" s="30">
        <f t="shared" si="0"/>
        <v>7718492</v>
      </c>
      <c r="R3" s="29">
        <f>SUBTOTAL(9,R4:R31)</f>
        <v>6973061</v>
      </c>
      <c r="S3" s="29">
        <f t="shared" ref="S3:V3" si="2">SUBTOTAL(9,S4:S31)</f>
        <v>9750</v>
      </c>
      <c r="T3" s="29">
        <f t="shared" si="2"/>
        <v>55250</v>
      </c>
      <c r="U3" s="29">
        <f t="shared" ref="U3" si="3">SUBTOTAL(9,U4:U31)</f>
        <v>36250</v>
      </c>
      <c r="V3" s="29">
        <f t="shared" si="2"/>
        <v>108750</v>
      </c>
      <c r="W3" s="30">
        <f>SUBTOTAL(9,W4:W31)</f>
        <v>7183061</v>
      </c>
      <c r="X3" s="29">
        <f>SUBTOTAL(9,X4:X31)</f>
        <v>6973061</v>
      </c>
      <c r="Y3" s="29">
        <f t="shared" ref="Y3:AC3" si="4">SUBTOTAL(9,Y4:Y31)</f>
        <v>7650</v>
      </c>
      <c r="Z3" s="29">
        <f t="shared" si="4"/>
        <v>43350</v>
      </c>
      <c r="AA3" s="29">
        <f t="shared" ref="AA3" si="5">SUBTOTAL(9,AA4:AA31)</f>
        <v>36250</v>
      </c>
      <c r="AB3" s="29">
        <f t="shared" si="4"/>
        <v>108750</v>
      </c>
      <c r="AC3" s="30">
        <f t="shared" si="4"/>
        <v>7169061</v>
      </c>
      <c r="AD3" s="29">
        <f>SUBTOTAL(9,AD4:AD31)</f>
        <v>6973061</v>
      </c>
      <c r="AE3" s="29">
        <f t="shared" ref="AE3" si="6">SUBTOTAL(9,AE4:AE31)</f>
        <v>5400</v>
      </c>
      <c r="AF3" s="29">
        <f t="shared" si="0"/>
        <v>30600</v>
      </c>
      <c r="AG3" s="29">
        <f t="shared" ref="AG3" si="7">SUBTOTAL(9,AG4:AG31)</f>
        <v>36250</v>
      </c>
      <c r="AH3" s="29">
        <f t="shared" si="0"/>
        <v>108750</v>
      </c>
      <c r="AI3" s="30">
        <f t="shared" si="0"/>
        <v>7154061</v>
      </c>
      <c r="AJ3" s="29">
        <f t="shared" ref="AJ3:AO3" si="8">SUBTOTAL(9,AJ4:AJ31)</f>
        <v>6973061</v>
      </c>
      <c r="AK3" s="29">
        <f t="shared" si="8"/>
        <v>3549.75</v>
      </c>
      <c r="AL3" s="29">
        <f t="shared" si="8"/>
        <v>20115.25</v>
      </c>
      <c r="AM3" s="29">
        <f t="shared" ref="AM3" si="9">SUBTOTAL(9,AM4:AM31)</f>
        <v>26750.5</v>
      </c>
      <c r="AN3" s="29">
        <f t="shared" si="8"/>
        <v>80251.5</v>
      </c>
      <c r="AO3" s="30">
        <f t="shared" si="8"/>
        <v>7103728</v>
      </c>
      <c r="AP3" s="30">
        <f>SUBTOTAL(9,AP4:AP31)</f>
        <v>36328403</v>
      </c>
      <c r="AQ3" s="24"/>
      <c r="AV3" s="106"/>
    </row>
    <row r="4" spans="1:48" ht="51">
      <c r="A4" s="15"/>
      <c r="B4" s="15" t="s">
        <v>186</v>
      </c>
      <c r="C4" s="16" t="s">
        <v>187</v>
      </c>
      <c r="D4" s="16" t="s">
        <v>188</v>
      </c>
      <c r="E4" s="47"/>
      <c r="F4" s="47"/>
      <c r="G4" s="54"/>
      <c r="H4" s="14"/>
      <c r="I4" s="54"/>
      <c r="J4" s="54"/>
      <c r="K4" s="54"/>
      <c r="L4" s="31">
        <f t="shared" ref="L4:AP4" si="10">SUBTOTAL(9,L8:L13)</f>
        <v>6541902</v>
      </c>
      <c r="M4" s="31">
        <f t="shared" si="10"/>
        <v>40545</v>
      </c>
      <c r="N4" s="31">
        <f t="shared" si="10"/>
        <v>229755</v>
      </c>
      <c r="O4" s="31">
        <f t="shared" ref="O4" si="11">SUBTOTAL(9,O8:O13)</f>
        <v>25000</v>
      </c>
      <c r="P4" s="31">
        <f t="shared" si="10"/>
        <v>75000</v>
      </c>
      <c r="Q4" s="32">
        <f t="shared" si="10"/>
        <v>6912202</v>
      </c>
      <c r="R4" s="31">
        <f t="shared" si="10"/>
        <v>6241984</v>
      </c>
      <c r="S4" s="31">
        <f t="shared" si="10"/>
        <v>2250</v>
      </c>
      <c r="T4" s="31">
        <f t="shared" si="10"/>
        <v>12750</v>
      </c>
      <c r="U4" s="31">
        <f t="shared" ref="U4" si="12">SUBTOTAL(9,U8:U13)</f>
        <v>25000</v>
      </c>
      <c r="V4" s="31">
        <f t="shared" si="10"/>
        <v>75000</v>
      </c>
      <c r="W4" s="32">
        <f>SUBTOTAL(9,W8:W13)</f>
        <v>6356984</v>
      </c>
      <c r="X4" s="31">
        <f t="shared" ref="X4:AC4" si="13">SUBTOTAL(9,X8:X13)</f>
        <v>6241984</v>
      </c>
      <c r="Y4" s="31">
        <f t="shared" si="13"/>
        <v>0</v>
      </c>
      <c r="Z4" s="31">
        <f t="shared" si="13"/>
        <v>0</v>
      </c>
      <c r="AA4" s="31">
        <f t="shared" ref="AA4" si="14">SUBTOTAL(9,AA8:AA13)</f>
        <v>25000</v>
      </c>
      <c r="AB4" s="31">
        <f t="shared" si="13"/>
        <v>75000</v>
      </c>
      <c r="AC4" s="32">
        <f t="shared" si="13"/>
        <v>6341984</v>
      </c>
      <c r="AD4" s="31">
        <f t="shared" si="10"/>
        <v>6241984</v>
      </c>
      <c r="AE4" s="31">
        <f t="shared" si="10"/>
        <v>0</v>
      </c>
      <c r="AF4" s="31">
        <f t="shared" si="10"/>
        <v>0</v>
      </c>
      <c r="AG4" s="31">
        <f t="shared" ref="AG4" si="15">SUBTOTAL(9,AG8:AG13)</f>
        <v>25000</v>
      </c>
      <c r="AH4" s="31">
        <f t="shared" si="10"/>
        <v>75000</v>
      </c>
      <c r="AI4" s="32">
        <f t="shared" si="10"/>
        <v>6341984</v>
      </c>
      <c r="AJ4" s="31">
        <f t="shared" si="10"/>
        <v>6241984</v>
      </c>
      <c r="AK4" s="31">
        <f t="shared" si="10"/>
        <v>0</v>
      </c>
      <c r="AL4" s="31">
        <f t="shared" si="10"/>
        <v>0</v>
      </c>
      <c r="AM4" s="31">
        <f t="shared" ref="AM4" si="16">SUBTOTAL(9,AM8:AM13)</f>
        <v>17500</v>
      </c>
      <c r="AN4" s="31">
        <f t="shared" si="10"/>
        <v>52500</v>
      </c>
      <c r="AO4" s="32">
        <f t="shared" si="10"/>
        <v>6311984</v>
      </c>
      <c r="AP4" s="32">
        <f t="shared" si="10"/>
        <v>32265138</v>
      </c>
      <c r="AQ4" s="15"/>
      <c r="AV4" s="106"/>
    </row>
    <row r="5" spans="1:48" ht="49.5" customHeight="1">
      <c r="A5" s="17"/>
      <c r="B5" s="17"/>
      <c r="C5" s="18"/>
      <c r="D5" s="18" t="s">
        <v>189</v>
      </c>
      <c r="E5" s="39" t="s">
        <v>190</v>
      </c>
      <c r="F5" s="39" t="s">
        <v>190</v>
      </c>
      <c r="G5" s="50"/>
      <c r="H5" s="39" t="s">
        <v>396</v>
      </c>
      <c r="I5" s="50"/>
      <c r="J5" s="50"/>
      <c r="K5" s="50"/>
      <c r="L5" s="40"/>
      <c r="M5" s="40"/>
      <c r="N5" s="40"/>
      <c r="O5" s="40"/>
      <c r="P5" s="40"/>
      <c r="Q5" s="41" t="s">
        <v>446</v>
      </c>
      <c r="R5" s="41"/>
      <c r="S5" s="41"/>
      <c r="T5" s="41"/>
      <c r="U5" s="41"/>
      <c r="V5" s="41"/>
      <c r="W5" s="41" t="s">
        <v>454</v>
      </c>
      <c r="X5" s="41"/>
      <c r="Y5" s="41"/>
      <c r="Z5" s="41"/>
      <c r="AA5" s="41"/>
      <c r="AB5" s="41"/>
      <c r="AC5" s="41" t="s">
        <v>447</v>
      </c>
      <c r="AD5" s="40"/>
      <c r="AE5" s="40"/>
      <c r="AF5" s="40"/>
      <c r="AG5" s="40"/>
      <c r="AH5" s="40"/>
      <c r="AI5" s="41" t="s">
        <v>454</v>
      </c>
      <c r="AJ5" s="40"/>
      <c r="AK5" s="40"/>
      <c r="AL5" s="40"/>
      <c r="AM5" s="40"/>
      <c r="AN5" s="40"/>
      <c r="AO5" s="41" t="s">
        <v>395</v>
      </c>
      <c r="AP5" s="41"/>
      <c r="AQ5" s="17"/>
      <c r="AV5" s="106"/>
    </row>
    <row r="6" spans="1:48" ht="72.75" customHeight="1">
      <c r="A6" s="17"/>
      <c r="B6" s="17"/>
      <c r="C6" s="18"/>
      <c r="D6" s="18" t="s">
        <v>191</v>
      </c>
      <c r="E6" s="39" t="s">
        <v>190</v>
      </c>
      <c r="F6" s="39" t="s">
        <v>190</v>
      </c>
      <c r="G6" s="50"/>
      <c r="H6" s="41" t="s">
        <v>507</v>
      </c>
      <c r="I6" s="50"/>
      <c r="J6" s="50"/>
      <c r="K6" s="50"/>
      <c r="L6" s="40"/>
      <c r="M6" s="40"/>
      <c r="N6" s="40"/>
      <c r="O6" s="40"/>
      <c r="P6" s="40"/>
      <c r="Q6" s="41" t="s">
        <v>454</v>
      </c>
      <c r="R6" s="41"/>
      <c r="S6" s="41"/>
      <c r="T6" s="41"/>
      <c r="U6" s="41"/>
      <c r="V6" s="41"/>
      <c r="W6" s="41" t="s">
        <v>508</v>
      </c>
      <c r="X6" s="41"/>
      <c r="Y6" s="41"/>
      <c r="Z6" s="41"/>
      <c r="AA6" s="41"/>
      <c r="AB6" s="41"/>
      <c r="AC6" s="41" t="s">
        <v>454</v>
      </c>
      <c r="AD6" s="40"/>
      <c r="AE6" s="40"/>
      <c r="AF6" s="40"/>
      <c r="AG6" s="40"/>
      <c r="AH6" s="40"/>
      <c r="AI6" s="41" t="s">
        <v>454</v>
      </c>
      <c r="AJ6" s="40"/>
      <c r="AK6" s="40"/>
      <c r="AL6" s="40"/>
      <c r="AM6" s="40"/>
      <c r="AN6" s="40"/>
      <c r="AO6" s="41" t="s">
        <v>509</v>
      </c>
      <c r="AP6" s="41"/>
      <c r="AQ6" s="17"/>
      <c r="AV6" s="106"/>
    </row>
    <row r="7" spans="1:48" ht="112.5" customHeight="1">
      <c r="A7" s="17"/>
      <c r="B7" s="17"/>
      <c r="C7" s="18"/>
      <c r="D7" s="18" t="s">
        <v>439</v>
      </c>
      <c r="E7" s="39" t="s">
        <v>190</v>
      </c>
      <c r="F7" s="39" t="s">
        <v>190</v>
      </c>
      <c r="G7" s="50"/>
      <c r="H7" s="39" t="s">
        <v>442</v>
      </c>
      <c r="I7" s="50"/>
      <c r="J7" s="50"/>
      <c r="K7" s="50"/>
      <c r="L7" s="40"/>
      <c r="M7" s="40"/>
      <c r="N7" s="40"/>
      <c r="O7" s="40"/>
      <c r="P7" s="40"/>
      <c r="Q7" s="41" t="s">
        <v>454</v>
      </c>
      <c r="R7" s="41"/>
      <c r="S7" s="41"/>
      <c r="T7" s="41"/>
      <c r="U7" s="41"/>
      <c r="V7" s="41"/>
      <c r="W7" s="41" t="s">
        <v>448</v>
      </c>
      <c r="X7" s="41"/>
      <c r="Y7" s="41"/>
      <c r="Z7" s="41"/>
      <c r="AA7" s="41"/>
      <c r="AB7" s="41"/>
      <c r="AC7" s="41" t="s">
        <v>454</v>
      </c>
      <c r="AD7" s="40"/>
      <c r="AE7" s="40"/>
      <c r="AF7" s="40"/>
      <c r="AG7" s="40"/>
      <c r="AH7" s="40"/>
      <c r="AI7" s="41" t="s">
        <v>454</v>
      </c>
      <c r="AJ7" s="40"/>
      <c r="AK7" s="40"/>
      <c r="AL7" s="40"/>
      <c r="AM7" s="40"/>
      <c r="AN7" s="40"/>
      <c r="AO7" s="55" t="s">
        <v>443</v>
      </c>
      <c r="AP7" s="41"/>
      <c r="AQ7" s="17"/>
    </row>
    <row r="8" spans="1:48" s="133" customFormat="1" ht="63.75">
      <c r="A8" s="62">
        <v>1</v>
      </c>
      <c r="B8" s="62" t="s">
        <v>108</v>
      </c>
      <c r="C8" s="6" t="s">
        <v>516</v>
      </c>
      <c r="D8" s="6" t="s">
        <v>192</v>
      </c>
      <c r="E8" s="44">
        <v>20</v>
      </c>
      <c r="F8" s="44" t="s">
        <v>193</v>
      </c>
      <c r="G8" s="3" t="s">
        <v>107</v>
      </c>
      <c r="H8" s="21"/>
      <c r="I8" s="3" t="s">
        <v>194</v>
      </c>
      <c r="J8" s="3"/>
      <c r="K8" s="3" t="s">
        <v>195</v>
      </c>
      <c r="L8" s="27">
        <v>45000</v>
      </c>
      <c r="M8" s="27"/>
      <c r="N8" s="27"/>
      <c r="O8" s="27"/>
      <c r="P8" s="27"/>
      <c r="Q8" s="27">
        <f t="shared" ref="Q8:Q9" si="17">SUM(L8:P8)</f>
        <v>45000</v>
      </c>
      <c r="R8" s="27">
        <v>45000</v>
      </c>
      <c r="S8" s="27"/>
      <c r="T8" s="27"/>
      <c r="U8" s="27"/>
      <c r="V8" s="27"/>
      <c r="W8" s="27">
        <f t="shared" ref="W8:W9" si="18">SUM(R8:V8)</f>
        <v>45000</v>
      </c>
      <c r="X8" s="27">
        <v>45000</v>
      </c>
      <c r="Y8" s="27"/>
      <c r="Z8" s="27"/>
      <c r="AA8" s="27"/>
      <c r="AB8" s="27"/>
      <c r="AC8" s="27">
        <f t="shared" ref="AC8:AC9" si="19">SUM(X8:AB8)</f>
        <v>45000</v>
      </c>
      <c r="AD8" s="27">
        <v>45000</v>
      </c>
      <c r="AE8" s="27"/>
      <c r="AF8" s="27"/>
      <c r="AG8" s="27"/>
      <c r="AH8" s="27"/>
      <c r="AI8" s="27">
        <f t="shared" ref="AI8:AI9" si="20">SUM(AD8:AH8)</f>
        <v>45000</v>
      </c>
      <c r="AJ8" s="27">
        <v>45000</v>
      </c>
      <c r="AK8" s="27"/>
      <c r="AL8" s="27"/>
      <c r="AM8" s="27"/>
      <c r="AN8" s="27"/>
      <c r="AO8" s="27">
        <f t="shared" ref="AO8:AO9" si="21">SUM(AJ8:AN8)</f>
        <v>45000</v>
      </c>
      <c r="AP8" s="27">
        <f>SUM(Q8,W8,AC8,AI8,AO8)</f>
        <v>225000</v>
      </c>
      <c r="AQ8" s="62" t="s">
        <v>481</v>
      </c>
    </row>
    <row r="9" spans="1:48" s="133" customFormat="1" ht="25.5">
      <c r="A9" s="62">
        <v>1</v>
      </c>
      <c r="B9" s="62" t="s">
        <v>109</v>
      </c>
      <c r="C9" s="6" t="s">
        <v>196</v>
      </c>
      <c r="D9" s="6" t="s">
        <v>197</v>
      </c>
      <c r="E9" s="44" t="s">
        <v>198</v>
      </c>
      <c r="F9" s="44">
        <v>4</v>
      </c>
      <c r="G9" s="3" t="s">
        <v>107</v>
      </c>
      <c r="H9" s="21"/>
      <c r="I9" s="3" t="s">
        <v>194</v>
      </c>
      <c r="J9" s="3" t="s">
        <v>199</v>
      </c>
      <c r="K9" s="3" t="s">
        <v>195</v>
      </c>
      <c r="L9" s="27"/>
      <c r="M9" s="27">
        <f>270300*0.15</f>
        <v>40545</v>
      </c>
      <c r="N9" s="27">
        <f>270300*0.85</f>
        <v>229755</v>
      </c>
      <c r="O9" s="27"/>
      <c r="P9" s="27"/>
      <c r="Q9" s="27">
        <f t="shared" si="17"/>
        <v>270300</v>
      </c>
      <c r="R9" s="27"/>
      <c r="S9" s="27">
        <f>15000*0.15</f>
        <v>2250</v>
      </c>
      <c r="T9" s="27">
        <f>15000*0.85</f>
        <v>12750</v>
      </c>
      <c r="U9" s="27"/>
      <c r="V9" s="27"/>
      <c r="W9" s="27">
        <f t="shared" si="18"/>
        <v>15000</v>
      </c>
      <c r="X9" s="27"/>
      <c r="Y9" s="27"/>
      <c r="Z9" s="27"/>
      <c r="AA9" s="27"/>
      <c r="AB9" s="27"/>
      <c r="AC9" s="27">
        <f t="shared" si="19"/>
        <v>0</v>
      </c>
      <c r="AD9" s="27"/>
      <c r="AE9" s="27"/>
      <c r="AF9" s="27"/>
      <c r="AG9" s="27"/>
      <c r="AH9" s="27"/>
      <c r="AI9" s="27">
        <f t="shared" si="20"/>
        <v>0</v>
      </c>
      <c r="AJ9" s="27"/>
      <c r="AK9" s="27"/>
      <c r="AL9" s="27"/>
      <c r="AM9" s="27"/>
      <c r="AN9" s="27"/>
      <c r="AO9" s="27">
        <f t="shared" si="21"/>
        <v>0</v>
      </c>
      <c r="AP9" s="27">
        <f t="shared" ref="AP9:AP13" si="22">SUM(Q9,W9,AC9,AI9,AO9)</f>
        <v>285300</v>
      </c>
      <c r="AQ9" s="87"/>
    </row>
    <row r="10" spans="1:48" s="133" customFormat="1" ht="38.25">
      <c r="A10" s="62">
        <v>1</v>
      </c>
      <c r="B10" s="62" t="s">
        <v>129</v>
      </c>
      <c r="C10" s="6" t="s">
        <v>517</v>
      </c>
      <c r="D10" s="6" t="s">
        <v>200</v>
      </c>
      <c r="E10" s="48" t="s">
        <v>198</v>
      </c>
      <c r="F10" s="48">
        <v>4</v>
      </c>
      <c r="G10" s="3" t="s">
        <v>128</v>
      </c>
      <c r="H10" s="21"/>
      <c r="I10" s="3" t="s">
        <v>194</v>
      </c>
      <c r="J10" s="3"/>
      <c r="K10" s="3"/>
      <c r="L10" s="27"/>
      <c r="M10" s="27"/>
      <c r="N10" s="27"/>
      <c r="O10" s="27">
        <f>100000*0.25</f>
        <v>25000</v>
      </c>
      <c r="P10" s="27">
        <f>100000*0.75</f>
        <v>75000</v>
      </c>
      <c r="Q10" s="27">
        <f t="shared" ref="Q10:Q13" si="23">SUM(L10:P10)</f>
        <v>100000</v>
      </c>
      <c r="R10" s="27"/>
      <c r="S10" s="27"/>
      <c r="T10" s="27"/>
      <c r="U10" s="27">
        <f>100000*0.25</f>
        <v>25000</v>
      </c>
      <c r="V10" s="27">
        <f>100000*0.75</f>
        <v>75000</v>
      </c>
      <c r="W10" s="27">
        <f t="shared" ref="W10:W13" si="24">SUM(R10:V10)</f>
        <v>100000</v>
      </c>
      <c r="X10" s="27"/>
      <c r="Y10" s="27"/>
      <c r="Z10" s="27"/>
      <c r="AA10" s="27">
        <f>100000*0.25</f>
        <v>25000</v>
      </c>
      <c r="AB10" s="27">
        <f>100000*0.75</f>
        <v>75000</v>
      </c>
      <c r="AC10" s="27">
        <f t="shared" ref="AC10:AC13" si="25">SUM(X10:AB10)</f>
        <v>100000</v>
      </c>
      <c r="AD10" s="27"/>
      <c r="AE10" s="27"/>
      <c r="AF10" s="27"/>
      <c r="AG10" s="27">
        <f>100000*0.25</f>
        <v>25000</v>
      </c>
      <c r="AH10" s="27">
        <f>100000*0.75</f>
        <v>75000</v>
      </c>
      <c r="AI10" s="27">
        <f t="shared" ref="AI10:AI13" si="26">SUM(AD10:AH10)</f>
        <v>100000</v>
      </c>
      <c r="AJ10" s="27"/>
      <c r="AK10" s="27"/>
      <c r="AL10" s="27"/>
      <c r="AM10" s="27">
        <f>70000*0.25</f>
        <v>17500</v>
      </c>
      <c r="AN10" s="27">
        <f>70000*0.75</f>
        <v>52500</v>
      </c>
      <c r="AO10" s="27">
        <f t="shared" ref="AO10:AO13" si="27">SUM(AJ10:AN10)</f>
        <v>70000</v>
      </c>
      <c r="AP10" s="27">
        <f t="shared" si="22"/>
        <v>470000</v>
      </c>
      <c r="AQ10" s="87"/>
    </row>
    <row r="11" spans="1:48" s="133" customFormat="1" ht="51">
      <c r="A11" s="62">
        <v>1</v>
      </c>
      <c r="B11" s="62" t="s">
        <v>110</v>
      </c>
      <c r="C11" s="6" t="s">
        <v>201</v>
      </c>
      <c r="D11" s="6" t="s">
        <v>202</v>
      </c>
      <c r="E11" s="44">
        <v>20</v>
      </c>
      <c r="F11" s="44">
        <v>4</v>
      </c>
      <c r="G11" s="3" t="s">
        <v>107</v>
      </c>
      <c r="H11" s="21"/>
      <c r="I11" s="48"/>
      <c r="J11" s="3"/>
      <c r="K11" s="3" t="s">
        <v>203</v>
      </c>
      <c r="L11" s="27">
        <v>1178694</v>
      </c>
      <c r="M11" s="27"/>
      <c r="N11" s="27"/>
      <c r="O11" s="27"/>
      <c r="P11" s="27"/>
      <c r="Q11" s="27">
        <f t="shared" si="23"/>
        <v>1178694</v>
      </c>
      <c r="R11" s="27">
        <f>ROUNDUP(1178694,-2)</f>
        <v>1178700</v>
      </c>
      <c r="S11" s="27"/>
      <c r="T11" s="27"/>
      <c r="U11" s="27"/>
      <c r="V11" s="27"/>
      <c r="W11" s="27">
        <f t="shared" si="24"/>
        <v>1178700</v>
      </c>
      <c r="X11" s="27">
        <f>ROUNDUP(1178694,-2)</f>
        <v>1178700</v>
      </c>
      <c r="Y11" s="27"/>
      <c r="Z11" s="27"/>
      <c r="AA11" s="27"/>
      <c r="AB11" s="27"/>
      <c r="AC11" s="27">
        <f t="shared" si="25"/>
        <v>1178700</v>
      </c>
      <c r="AD11" s="27">
        <f>ROUNDUP(1178694,-2)</f>
        <v>1178700</v>
      </c>
      <c r="AE11" s="27"/>
      <c r="AF11" s="27"/>
      <c r="AG11" s="27"/>
      <c r="AH11" s="27"/>
      <c r="AI11" s="27">
        <f t="shared" si="26"/>
        <v>1178700</v>
      </c>
      <c r="AJ11" s="27">
        <f>ROUNDUP(1178694,-2)</f>
        <v>1178700</v>
      </c>
      <c r="AK11" s="27"/>
      <c r="AL11" s="27"/>
      <c r="AM11" s="27"/>
      <c r="AN11" s="27"/>
      <c r="AO11" s="27">
        <f t="shared" si="27"/>
        <v>1178700</v>
      </c>
      <c r="AP11" s="27">
        <f t="shared" si="22"/>
        <v>5893494</v>
      </c>
      <c r="AQ11" s="62" t="s">
        <v>496</v>
      </c>
    </row>
    <row r="12" spans="1:48" s="134" customFormat="1" ht="51">
      <c r="A12" s="62">
        <v>1</v>
      </c>
      <c r="B12" s="62" t="s">
        <v>111</v>
      </c>
      <c r="C12" s="6" t="s">
        <v>204</v>
      </c>
      <c r="D12" s="6" t="s">
        <v>205</v>
      </c>
      <c r="E12" s="44">
        <v>20</v>
      </c>
      <c r="F12" s="44">
        <v>4</v>
      </c>
      <c r="G12" s="3" t="s">
        <v>107</v>
      </c>
      <c r="H12" s="21"/>
      <c r="I12" s="48"/>
      <c r="J12" s="48"/>
      <c r="K12" s="48" t="s">
        <v>203</v>
      </c>
      <c r="L12" s="116">
        <v>931035</v>
      </c>
      <c r="M12" s="27"/>
      <c r="N12" s="27"/>
      <c r="O12" s="27"/>
      <c r="P12" s="27"/>
      <c r="Q12" s="27">
        <f t="shared" si="23"/>
        <v>931035</v>
      </c>
      <c r="R12" s="27">
        <f>ROUNDUP(931035,-2)</f>
        <v>931100</v>
      </c>
      <c r="S12" s="27"/>
      <c r="T12" s="27"/>
      <c r="U12" s="27"/>
      <c r="V12" s="27"/>
      <c r="W12" s="27">
        <f t="shared" si="24"/>
        <v>931100</v>
      </c>
      <c r="X12" s="27">
        <f>ROUNDUP(931035,-2)</f>
        <v>931100</v>
      </c>
      <c r="Y12" s="27"/>
      <c r="Z12" s="27"/>
      <c r="AA12" s="27"/>
      <c r="AB12" s="27"/>
      <c r="AC12" s="27">
        <f t="shared" si="25"/>
        <v>931100</v>
      </c>
      <c r="AD12" s="27">
        <f>ROUNDUP(931035,-2)</f>
        <v>931100</v>
      </c>
      <c r="AE12" s="27"/>
      <c r="AF12" s="27"/>
      <c r="AG12" s="27"/>
      <c r="AH12" s="27"/>
      <c r="AI12" s="27">
        <f t="shared" si="26"/>
        <v>931100</v>
      </c>
      <c r="AJ12" s="27">
        <f>ROUNDUP(931035,-2)</f>
        <v>931100</v>
      </c>
      <c r="AK12" s="27"/>
      <c r="AL12" s="27"/>
      <c r="AM12" s="27"/>
      <c r="AN12" s="27"/>
      <c r="AO12" s="27">
        <f t="shared" si="27"/>
        <v>931100</v>
      </c>
      <c r="AP12" s="27">
        <f t="shared" si="22"/>
        <v>4655435</v>
      </c>
      <c r="AQ12" s="62" t="s">
        <v>496</v>
      </c>
    </row>
    <row r="13" spans="1:48" s="134" customFormat="1" ht="101.25" customHeight="1">
      <c r="A13" s="62">
        <v>1</v>
      </c>
      <c r="B13" s="62" t="s">
        <v>112</v>
      </c>
      <c r="C13" s="6" t="s">
        <v>525</v>
      </c>
      <c r="D13" s="6" t="s">
        <v>524</v>
      </c>
      <c r="E13" s="44">
        <v>20</v>
      </c>
      <c r="F13" s="44">
        <v>4</v>
      </c>
      <c r="G13" s="3" t="s">
        <v>107</v>
      </c>
      <c r="H13" s="21"/>
      <c r="I13" s="48"/>
      <c r="J13" s="48"/>
      <c r="K13" s="48" t="s">
        <v>203</v>
      </c>
      <c r="L13" s="116">
        <v>4387173</v>
      </c>
      <c r="M13" s="27"/>
      <c r="N13" s="27"/>
      <c r="O13" s="27"/>
      <c r="P13" s="27"/>
      <c r="Q13" s="27">
        <f t="shared" si="23"/>
        <v>4387173</v>
      </c>
      <c r="R13" s="27">
        <v>4087184</v>
      </c>
      <c r="S13" s="27"/>
      <c r="T13" s="27"/>
      <c r="U13" s="27"/>
      <c r="V13" s="27"/>
      <c r="W13" s="27">
        <f t="shared" si="24"/>
        <v>4087184</v>
      </c>
      <c r="X13" s="27">
        <v>4087184</v>
      </c>
      <c r="Y13" s="27"/>
      <c r="Z13" s="27"/>
      <c r="AA13" s="27"/>
      <c r="AB13" s="27"/>
      <c r="AC13" s="27">
        <f t="shared" si="25"/>
        <v>4087184</v>
      </c>
      <c r="AD13" s="27">
        <v>4087184</v>
      </c>
      <c r="AE13" s="27"/>
      <c r="AF13" s="27"/>
      <c r="AG13" s="27"/>
      <c r="AH13" s="27"/>
      <c r="AI13" s="27">
        <f t="shared" si="26"/>
        <v>4087184</v>
      </c>
      <c r="AJ13" s="27">
        <v>4087184</v>
      </c>
      <c r="AK13" s="27"/>
      <c r="AL13" s="27"/>
      <c r="AM13" s="27"/>
      <c r="AN13" s="27"/>
      <c r="AO13" s="27">
        <f t="shared" si="27"/>
        <v>4087184</v>
      </c>
      <c r="AP13" s="27">
        <f t="shared" si="22"/>
        <v>20735909</v>
      </c>
      <c r="AQ13" s="62" t="s">
        <v>497</v>
      </c>
    </row>
    <row r="14" spans="1:48" ht="89.25">
      <c r="A14" s="15"/>
      <c r="B14" s="15" t="s">
        <v>206</v>
      </c>
      <c r="C14" s="16" t="s">
        <v>207</v>
      </c>
      <c r="D14" s="16" t="s">
        <v>208</v>
      </c>
      <c r="E14" s="47"/>
      <c r="F14" s="47"/>
      <c r="G14" s="54"/>
      <c r="H14" s="14"/>
      <c r="I14" s="54"/>
      <c r="J14" s="54"/>
      <c r="K14" s="54"/>
      <c r="L14" s="31">
        <f t="shared" ref="L14:AI14" si="28">SUBTOTAL(9,L17:L21)</f>
        <v>88577</v>
      </c>
      <c r="M14" s="31">
        <f t="shared" si="28"/>
        <v>10948.8</v>
      </c>
      <c r="N14" s="31">
        <f t="shared" si="28"/>
        <v>62043.199999999997</v>
      </c>
      <c r="O14" s="31">
        <f t="shared" si="28"/>
        <v>16250</v>
      </c>
      <c r="P14" s="31">
        <f t="shared" si="28"/>
        <v>48750</v>
      </c>
      <c r="Q14" s="32">
        <f t="shared" si="28"/>
        <v>226569</v>
      </c>
      <c r="R14" s="31">
        <f t="shared" si="28"/>
        <v>88577</v>
      </c>
      <c r="S14" s="31">
        <f t="shared" si="28"/>
        <v>7500</v>
      </c>
      <c r="T14" s="31">
        <f t="shared" si="28"/>
        <v>42500</v>
      </c>
      <c r="U14" s="31">
        <f t="shared" si="28"/>
        <v>11250</v>
      </c>
      <c r="V14" s="31">
        <f t="shared" si="28"/>
        <v>33750</v>
      </c>
      <c r="W14" s="32">
        <f>SUBTOTAL(9,W17:W21)</f>
        <v>183577</v>
      </c>
      <c r="X14" s="31">
        <f t="shared" si="28"/>
        <v>88577</v>
      </c>
      <c r="Y14" s="31">
        <f t="shared" si="28"/>
        <v>7650</v>
      </c>
      <c r="Z14" s="31">
        <f t="shared" si="28"/>
        <v>43350</v>
      </c>
      <c r="AA14" s="31">
        <f t="shared" si="28"/>
        <v>11250</v>
      </c>
      <c r="AB14" s="31">
        <f t="shared" si="28"/>
        <v>33750</v>
      </c>
      <c r="AC14" s="32">
        <f t="shared" si="28"/>
        <v>184577</v>
      </c>
      <c r="AD14" s="31">
        <f t="shared" si="28"/>
        <v>88577</v>
      </c>
      <c r="AE14" s="31">
        <f t="shared" si="28"/>
        <v>5400</v>
      </c>
      <c r="AF14" s="31">
        <f t="shared" si="28"/>
        <v>30600</v>
      </c>
      <c r="AG14" s="31">
        <f t="shared" si="28"/>
        <v>11250</v>
      </c>
      <c r="AH14" s="31">
        <f t="shared" si="28"/>
        <v>33750</v>
      </c>
      <c r="AI14" s="32">
        <f t="shared" si="28"/>
        <v>169577</v>
      </c>
      <c r="AJ14" s="31">
        <f t="shared" ref="AJ14:AO14" si="29">SUBTOTAL(9,AJ17:AJ21)</f>
        <v>88577</v>
      </c>
      <c r="AK14" s="31">
        <f t="shared" si="29"/>
        <v>3549.75</v>
      </c>
      <c r="AL14" s="31">
        <f t="shared" si="29"/>
        <v>20115.25</v>
      </c>
      <c r="AM14" s="31">
        <f t="shared" si="29"/>
        <v>9250.5</v>
      </c>
      <c r="AN14" s="31">
        <f t="shared" si="29"/>
        <v>27751.5</v>
      </c>
      <c r="AO14" s="32">
        <f t="shared" si="29"/>
        <v>149244</v>
      </c>
      <c r="AP14" s="32">
        <f>SUBTOTAL(9,AP17:AP21)</f>
        <v>913544</v>
      </c>
      <c r="AQ14" s="15"/>
    </row>
    <row r="15" spans="1:48">
      <c r="A15" s="17"/>
      <c r="B15" s="17"/>
      <c r="C15" s="18"/>
      <c r="D15" s="18" t="s">
        <v>209</v>
      </c>
      <c r="E15" s="39" t="s">
        <v>190</v>
      </c>
      <c r="F15" s="39" t="s">
        <v>190</v>
      </c>
      <c r="G15" s="50"/>
      <c r="H15" s="39" t="s">
        <v>396</v>
      </c>
      <c r="I15" s="50"/>
      <c r="J15" s="50"/>
      <c r="K15" s="50"/>
      <c r="L15" s="40"/>
      <c r="M15" s="40"/>
      <c r="N15" s="40"/>
      <c r="O15" s="40"/>
      <c r="P15" s="40"/>
      <c r="Q15" s="41" t="s">
        <v>480</v>
      </c>
      <c r="R15" s="41"/>
      <c r="S15" s="41"/>
      <c r="T15" s="41"/>
      <c r="U15" s="41"/>
      <c r="V15" s="41"/>
      <c r="W15" s="41" t="s">
        <v>454</v>
      </c>
      <c r="X15" s="41"/>
      <c r="Y15" s="41"/>
      <c r="Z15" s="41"/>
      <c r="AA15" s="41"/>
      <c r="AB15" s="41"/>
      <c r="AC15" s="41" t="s">
        <v>479</v>
      </c>
      <c r="AD15" s="40"/>
      <c r="AE15" s="40"/>
      <c r="AF15" s="40"/>
      <c r="AG15" s="40"/>
      <c r="AH15" s="40"/>
      <c r="AI15" s="41" t="s">
        <v>454</v>
      </c>
      <c r="AJ15" s="40"/>
      <c r="AK15" s="40"/>
      <c r="AL15" s="40"/>
      <c r="AM15" s="40"/>
      <c r="AN15" s="40"/>
      <c r="AO15" s="41" t="s">
        <v>478</v>
      </c>
      <c r="AP15" s="41"/>
      <c r="AQ15" s="17"/>
    </row>
    <row r="16" spans="1:48" ht="133.5" customHeight="1">
      <c r="A16" s="17"/>
      <c r="B16" s="17"/>
      <c r="C16" s="18"/>
      <c r="D16" s="18" t="s">
        <v>474</v>
      </c>
      <c r="E16" s="39" t="s">
        <v>190</v>
      </c>
      <c r="F16" s="39" t="s">
        <v>190</v>
      </c>
      <c r="G16" s="50"/>
      <c r="H16" s="39" t="s">
        <v>505</v>
      </c>
      <c r="I16" s="50"/>
      <c r="J16" s="50"/>
      <c r="K16" s="50"/>
      <c r="L16" s="40"/>
      <c r="M16" s="40"/>
      <c r="N16" s="40"/>
      <c r="O16" s="40"/>
      <c r="P16" s="40"/>
      <c r="Q16" s="41" t="s">
        <v>454</v>
      </c>
      <c r="R16" s="41"/>
      <c r="S16" s="41"/>
      <c r="T16" s="41"/>
      <c r="U16" s="41"/>
      <c r="V16" s="41"/>
      <c r="W16" s="41" t="s">
        <v>473</v>
      </c>
      <c r="X16" s="41"/>
      <c r="Y16" s="41"/>
      <c r="Z16" s="41"/>
      <c r="AA16" s="41"/>
      <c r="AB16" s="41"/>
      <c r="AC16" s="41" t="s">
        <v>454</v>
      </c>
      <c r="AD16" s="40"/>
      <c r="AE16" s="40"/>
      <c r="AF16" s="40"/>
      <c r="AG16" s="40"/>
      <c r="AH16" s="40"/>
      <c r="AI16" s="41" t="s">
        <v>454</v>
      </c>
      <c r="AJ16" s="40"/>
      <c r="AK16" s="40"/>
      <c r="AL16" s="40"/>
      <c r="AM16" s="40"/>
      <c r="AN16" s="40"/>
      <c r="AO16" s="41" t="s">
        <v>506</v>
      </c>
      <c r="AP16" s="41"/>
      <c r="AQ16" s="17"/>
    </row>
    <row r="17" spans="1:46" s="133" customFormat="1" ht="51">
      <c r="A17" s="62">
        <v>1</v>
      </c>
      <c r="B17" s="62" t="s">
        <v>130</v>
      </c>
      <c r="C17" s="6" t="s">
        <v>210</v>
      </c>
      <c r="D17" s="6" t="s">
        <v>211</v>
      </c>
      <c r="E17" s="44" t="s">
        <v>198</v>
      </c>
      <c r="F17" s="44">
        <v>4</v>
      </c>
      <c r="G17" s="3" t="s">
        <v>128</v>
      </c>
      <c r="H17" s="21"/>
      <c r="I17" s="3" t="s">
        <v>194</v>
      </c>
      <c r="J17" s="3"/>
      <c r="K17" s="3"/>
      <c r="L17" s="27"/>
      <c r="M17" s="27"/>
      <c r="N17" s="27"/>
      <c r="O17" s="27">
        <f>45000*0.25</f>
        <v>11250</v>
      </c>
      <c r="P17" s="27">
        <f>45000*0.75</f>
        <v>33750</v>
      </c>
      <c r="Q17" s="27">
        <f>SUM(L17:P17)</f>
        <v>45000</v>
      </c>
      <c r="R17" s="27"/>
      <c r="S17" s="27"/>
      <c r="T17" s="27"/>
      <c r="U17" s="27">
        <f>45000*0.25</f>
        <v>11250</v>
      </c>
      <c r="V17" s="27">
        <f>45000*0.75</f>
        <v>33750</v>
      </c>
      <c r="W17" s="27">
        <f>SUM(R17:V17)</f>
        <v>45000</v>
      </c>
      <c r="X17" s="27"/>
      <c r="Y17" s="27"/>
      <c r="Z17" s="27"/>
      <c r="AA17" s="27">
        <f>45000*0.25</f>
        <v>11250</v>
      </c>
      <c r="AB17" s="27">
        <f>45000*0.75</f>
        <v>33750</v>
      </c>
      <c r="AC17" s="27">
        <f>SUM(X17:AB17)</f>
        <v>45000</v>
      </c>
      <c r="AD17" s="27"/>
      <c r="AE17" s="27"/>
      <c r="AF17" s="27"/>
      <c r="AG17" s="27">
        <f>45000*0.25</f>
        <v>11250</v>
      </c>
      <c r="AH17" s="27">
        <f>45000*0.75</f>
        <v>33750</v>
      </c>
      <c r="AI17" s="27">
        <f>SUM(AD17:AH17)</f>
        <v>45000</v>
      </c>
      <c r="AJ17" s="27"/>
      <c r="AK17" s="27"/>
      <c r="AL17" s="27"/>
      <c r="AM17" s="27">
        <f>(50000-12998)*0.25</f>
        <v>9250.5</v>
      </c>
      <c r="AN17" s="27">
        <f>(50000-12998)*0.75</f>
        <v>27751.5</v>
      </c>
      <c r="AO17" s="27">
        <f>SUM(AJ17:AN17)</f>
        <v>37002</v>
      </c>
      <c r="AP17" s="27">
        <f t="shared" ref="AP17:AP21" si="30">SUM(Q17,W17,AC17,AI17,AO17)</f>
        <v>217002</v>
      </c>
      <c r="AQ17" s="87"/>
      <c r="AS17" s="135"/>
    </row>
    <row r="18" spans="1:46" s="133" customFormat="1" ht="38.25">
      <c r="A18" s="62">
        <v>1</v>
      </c>
      <c r="B18" s="62" t="s">
        <v>131</v>
      </c>
      <c r="C18" s="6" t="s">
        <v>212</v>
      </c>
      <c r="D18" s="6" t="s">
        <v>495</v>
      </c>
      <c r="E18" s="44" t="s">
        <v>198</v>
      </c>
      <c r="F18" s="44">
        <v>4</v>
      </c>
      <c r="G18" s="3" t="s">
        <v>128</v>
      </c>
      <c r="H18" s="21"/>
      <c r="I18" s="3">
        <v>2016</v>
      </c>
      <c r="J18" s="3"/>
      <c r="K18" s="3"/>
      <c r="L18" s="27"/>
      <c r="M18" s="27"/>
      <c r="N18" s="27"/>
      <c r="O18" s="27">
        <f>20000*0.25</f>
        <v>5000</v>
      </c>
      <c r="P18" s="27">
        <f>20000*0.75</f>
        <v>15000</v>
      </c>
      <c r="Q18" s="27">
        <f>SUM(L18:P18)</f>
        <v>20000</v>
      </c>
      <c r="R18" s="27"/>
      <c r="S18" s="27"/>
      <c r="T18" s="27"/>
      <c r="U18" s="27"/>
      <c r="V18" s="27"/>
      <c r="W18" s="27">
        <f>SUM(R18:V18)</f>
        <v>0</v>
      </c>
      <c r="X18" s="27"/>
      <c r="Y18" s="27"/>
      <c r="Z18" s="27"/>
      <c r="AA18" s="27"/>
      <c r="AB18" s="27"/>
      <c r="AC18" s="27">
        <f>SUM(X18:AB18)</f>
        <v>0</v>
      </c>
      <c r="AD18" s="27"/>
      <c r="AE18" s="27"/>
      <c r="AF18" s="27"/>
      <c r="AG18" s="27"/>
      <c r="AH18" s="27"/>
      <c r="AI18" s="27">
        <f>SUM(AD18:AH18)</f>
        <v>0</v>
      </c>
      <c r="AJ18" s="27"/>
      <c r="AK18" s="27"/>
      <c r="AL18" s="27"/>
      <c r="AM18" s="27"/>
      <c r="AN18" s="27"/>
      <c r="AO18" s="27">
        <f>SUM(AJ18:AN18)</f>
        <v>0</v>
      </c>
      <c r="AP18" s="27">
        <f t="shared" ref="AP18" si="31">SUM(Q18,W18,AC18,AI18,AO18)</f>
        <v>20000</v>
      </c>
      <c r="AQ18" s="87"/>
      <c r="AS18" s="135"/>
      <c r="AT18" s="135"/>
    </row>
    <row r="19" spans="1:46" s="133" customFormat="1" ht="38.25">
      <c r="A19" s="62">
        <v>1</v>
      </c>
      <c r="B19" s="62" t="s">
        <v>113</v>
      </c>
      <c r="C19" s="6" t="s">
        <v>518</v>
      </c>
      <c r="D19" s="6" t="s">
        <v>213</v>
      </c>
      <c r="E19" s="44">
        <v>20</v>
      </c>
      <c r="F19" s="44">
        <v>4</v>
      </c>
      <c r="G19" s="3" t="s">
        <v>107</v>
      </c>
      <c r="H19" s="21"/>
      <c r="I19" s="3" t="s">
        <v>194</v>
      </c>
      <c r="J19" s="3" t="s">
        <v>195</v>
      </c>
      <c r="K19" s="3"/>
      <c r="L19" s="27">
        <v>79577</v>
      </c>
      <c r="M19" s="27"/>
      <c r="N19" s="27"/>
      <c r="O19" s="27"/>
      <c r="P19" s="27"/>
      <c r="Q19" s="27">
        <f>SUM(L19:P19)</f>
        <v>79577</v>
      </c>
      <c r="R19" s="27">
        <v>79577</v>
      </c>
      <c r="S19" s="27"/>
      <c r="T19" s="27"/>
      <c r="U19" s="27"/>
      <c r="V19" s="27"/>
      <c r="W19" s="27">
        <f>SUM(R19:V19)</f>
        <v>79577</v>
      </c>
      <c r="X19" s="27">
        <v>79577</v>
      </c>
      <c r="Y19" s="27"/>
      <c r="Z19" s="27"/>
      <c r="AA19" s="27"/>
      <c r="AB19" s="27"/>
      <c r="AC19" s="27">
        <f>SUM(X19:AB19)</f>
        <v>79577</v>
      </c>
      <c r="AD19" s="27">
        <v>79577</v>
      </c>
      <c r="AE19" s="27"/>
      <c r="AF19" s="27"/>
      <c r="AG19" s="27"/>
      <c r="AH19" s="27"/>
      <c r="AI19" s="27">
        <f>SUM(AD19:AH19)</f>
        <v>79577</v>
      </c>
      <c r="AJ19" s="27">
        <v>79577</v>
      </c>
      <c r="AK19" s="27"/>
      <c r="AL19" s="27"/>
      <c r="AM19" s="27"/>
      <c r="AN19" s="27"/>
      <c r="AO19" s="27">
        <f>SUM(AJ19:AN19)</f>
        <v>79577</v>
      </c>
      <c r="AP19" s="27">
        <f t="shared" si="30"/>
        <v>397885</v>
      </c>
      <c r="AQ19" s="87"/>
    </row>
    <row r="20" spans="1:46" ht="25.5">
      <c r="A20" s="62">
        <v>1</v>
      </c>
      <c r="B20" s="1" t="s">
        <v>114</v>
      </c>
      <c r="C20" s="8" t="s">
        <v>214</v>
      </c>
      <c r="D20" s="8" t="s">
        <v>472</v>
      </c>
      <c r="E20" s="45" t="s">
        <v>198</v>
      </c>
      <c r="F20" s="45">
        <v>4</v>
      </c>
      <c r="G20" s="3" t="s">
        <v>107</v>
      </c>
      <c r="H20" s="22"/>
      <c r="I20" s="3" t="s">
        <v>194</v>
      </c>
      <c r="J20" s="3" t="s">
        <v>199</v>
      </c>
      <c r="K20" s="3" t="s">
        <v>195</v>
      </c>
      <c r="L20" s="28"/>
      <c r="M20" s="28">
        <f>72992*0.15</f>
        <v>10948.8</v>
      </c>
      <c r="N20" s="28">
        <f>72992*0.85</f>
        <v>62043.199999999997</v>
      </c>
      <c r="O20" s="28"/>
      <c r="P20" s="28"/>
      <c r="Q20" s="28">
        <f t="shared" ref="Q20" si="32">SUM(L20:P20)</f>
        <v>72992</v>
      </c>
      <c r="R20" s="28"/>
      <c r="S20" s="28">
        <f>50000*0.15</f>
        <v>7500</v>
      </c>
      <c r="T20" s="28">
        <f>50000*0.85</f>
        <v>42500</v>
      </c>
      <c r="U20" s="28"/>
      <c r="V20" s="28"/>
      <c r="W20" s="28">
        <f t="shared" ref="W20" si="33">SUM(R20:V20)</f>
        <v>50000</v>
      </c>
      <c r="X20" s="28"/>
      <c r="Y20" s="28">
        <f>51000*0.15</f>
        <v>7650</v>
      </c>
      <c r="Z20" s="28">
        <f>51000*0.85</f>
        <v>43350</v>
      </c>
      <c r="AA20" s="28"/>
      <c r="AB20" s="28"/>
      <c r="AC20" s="28">
        <f t="shared" ref="AC20" si="34">SUM(X20:AB20)</f>
        <v>51000</v>
      </c>
      <c r="AD20" s="28"/>
      <c r="AE20" s="28">
        <f>36000*0.15</f>
        <v>5400</v>
      </c>
      <c r="AF20" s="28">
        <f>36000*0.85</f>
        <v>30600</v>
      </c>
      <c r="AG20" s="28"/>
      <c r="AH20" s="28"/>
      <c r="AI20" s="28">
        <f t="shared" ref="AI20" si="35">SUM(AD20:AH20)</f>
        <v>36000</v>
      </c>
      <c r="AJ20" s="28"/>
      <c r="AK20" s="28">
        <f>23665*0.15</f>
        <v>3549.75</v>
      </c>
      <c r="AL20" s="28">
        <f>23665*0.85</f>
        <v>20115.25</v>
      </c>
      <c r="AM20" s="28"/>
      <c r="AN20" s="28"/>
      <c r="AO20" s="28">
        <f t="shared" ref="AO20" si="36">SUM(AJ20:AN20)</f>
        <v>23665</v>
      </c>
      <c r="AP20" s="27">
        <f t="shared" si="30"/>
        <v>233657</v>
      </c>
      <c r="AQ20" s="11"/>
    </row>
    <row r="21" spans="1:46" ht="25.5">
      <c r="A21" s="62">
        <v>1</v>
      </c>
      <c r="B21" s="1" t="s">
        <v>115</v>
      </c>
      <c r="C21" s="7" t="s">
        <v>215</v>
      </c>
      <c r="D21" s="7" t="s">
        <v>498</v>
      </c>
      <c r="E21" s="45">
        <v>20</v>
      </c>
      <c r="F21" s="45">
        <v>4</v>
      </c>
      <c r="G21" s="3" t="s">
        <v>107</v>
      </c>
      <c r="H21" s="22"/>
      <c r="I21" s="3" t="s">
        <v>194</v>
      </c>
      <c r="J21" s="3" t="s">
        <v>195</v>
      </c>
      <c r="K21" s="3"/>
      <c r="L21" s="28">
        <v>9000</v>
      </c>
      <c r="M21" s="28"/>
      <c r="N21" s="28"/>
      <c r="O21" s="28"/>
      <c r="P21" s="28"/>
      <c r="Q21" s="28">
        <f>SUM(L21:P21)</f>
        <v>9000</v>
      </c>
      <c r="R21" s="28">
        <f>SUM(N21:Q21)</f>
        <v>9000</v>
      </c>
      <c r="S21" s="28"/>
      <c r="T21" s="28"/>
      <c r="U21" s="28"/>
      <c r="V21" s="28"/>
      <c r="W21" s="28">
        <f>SUM(R21:V21)</f>
        <v>9000</v>
      </c>
      <c r="X21" s="28">
        <v>9000</v>
      </c>
      <c r="Y21" s="28"/>
      <c r="Z21" s="28"/>
      <c r="AA21" s="28"/>
      <c r="AB21" s="28"/>
      <c r="AC21" s="28">
        <f>SUM(X21:AB21)</f>
        <v>9000</v>
      </c>
      <c r="AD21" s="28">
        <v>9000</v>
      </c>
      <c r="AE21" s="28"/>
      <c r="AF21" s="28"/>
      <c r="AG21" s="28"/>
      <c r="AH21" s="28"/>
      <c r="AI21" s="28">
        <f>SUM(AD21:AH21)</f>
        <v>9000</v>
      </c>
      <c r="AJ21" s="28">
        <v>9000</v>
      </c>
      <c r="AK21" s="28"/>
      <c r="AL21" s="28"/>
      <c r="AM21" s="28"/>
      <c r="AN21" s="28"/>
      <c r="AO21" s="28">
        <f>SUM(AJ21:AN21)</f>
        <v>9000</v>
      </c>
      <c r="AP21" s="27">
        <f t="shared" si="30"/>
        <v>45000</v>
      </c>
      <c r="AQ21" s="11"/>
    </row>
    <row r="22" spans="1:46" ht="63.75">
      <c r="A22" s="15"/>
      <c r="B22" s="15" t="s">
        <v>216</v>
      </c>
      <c r="C22" s="16" t="s">
        <v>217</v>
      </c>
      <c r="D22" s="16" t="s">
        <v>218</v>
      </c>
      <c r="E22" s="47"/>
      <c r="F22" s="47"/>
      <c r="G22" s="54"/>
      <c r="H22" s="14"/>
      <c r="I22" s="54"/>
      <c r="J22" s="54"/>
      <c r="K22" s="54"/>
      <c r="L22" s="31">
        <f t="shared" ref="L22:AH22" si="37">SUBTOTAL(9,L26:L31)</f>
        <v>579721</v>
      </c>
      <c r="M22" s="31">
        <f t="shared" si="37"/>
        <v>0</v>
      </c>
      <c r="N22" s="31">
        <f t="shared" si="37"/>
        <v>0</v>
      </c>
      <c r="O22" s="31">
        <f t="shared" si="37"/>
        <v>0</v>
      </c>
      <c r="P22" s="31">
        <f t="shared" si="37"/>
        <v>0</v>
      </c>
      <c r="Q22" s="32">
        <f>SUBTOTAL(9,Q26:Q31)</f>
        <v>579721</v>
      </c>
      <c r="R22" s="31">
        <f t="shared" si="37"/>
        <v>642500</v>
      </c>
      <c r="S22" s="31">
        <f t="shared" si="37"/>
        <v>0</v>
      </c>
      <c r="T22" s="31">
        <f t="shared" si="37"/>
        <v>0</v>
      </c>
      <c r="U22" s="31">
        <f t="shared" si="37"/>
        <v>0</v>
      </c>
      <c r="V22" s="31">
        <f t="shared" si="37"/>
        <v>0</v>
      </c>
      <c r="W22" s="32">
        <f>SUBTOTAL(9,W26:W31)</f>
        <v>642500</v>
      </c>
      <c r="X22" s="31">
        <f t="shared" si="37"/>
        <v>642500</v>
      </c>
      <c r="Y22" s="31">
        <f t="shared" si="37"/>
        <v>0</v>
      </c>
      <c r="Z22" s="31">
        <f t="shared" si="37"/>
        <v>0</v>
      </c>
      <c r="AA22" s="31">
        <f t="shared" si="37"/>
        <v>0</v>
      </c>
      <c r="AB22" s="31">
        <f t="shared" si="37"/>
        <v>0</v>
      </c>
      <c r="AC22" s="32">
        <f>SUBTOTAL(9,AC26:AC31)</f>
        <v>642500</v>
      </c>
      <c r="AD22" s="31">
        <f t="shared" si="37"/>
        <v>642500</v>
      </c>
      <c r="AE22" s="31">
        <f t="shared" si="37"/>
        <v>0</v>
      </c>
      <c r="AF22" s="31">
        <f t="shared" si="37"/>
        <v>0</v>
      </c>
      <c r="AG22" s="31">
        <f t="shared" si="37"/>
        <v>0</v>
      </c>
      <c r="AH22" s="31">
        <f t="shared" si="37"/>
        <v>0</v>
      </c>
      <c r="AI22" s="32">
        <f>SUBTOTAL(9,AI26:AI31)</f>
        <v>642500</v>
      </c>
      <c r="AJ22" s="31">
        <f t="shared" ref="AJ22:AN22" si="38">SUBTOTAL(9,AJ26:AJ31)</f>
        <v>642500</v>
      </c>
      <c r="AK22" s="31">
        <f t="shared" si="38"/>
        <v>0</v>
      </c>
      <c r="AL22" s="31">
        <f t="shared" si="38"/>
        <v>0</v>
      </c>
      <c r="AM22" s="31">
        <f t="shared" si="38"/>
        <v>0</v>
      </c>
      <c r="AN22" s="31">
        <f t="shared" si="38"/>
        <v>0</v>
      </c>
      <c r="AO22" s="32">
        <f>SUBTOTAL(9,AO26:AO31)</f>
        <v>642500</v>
      </c>
      <c r="AP22" s="32">
        <f>SUBTOTAL(9,AP26:AP31)</f>
        <v>3149721</v>
      </c>
      <c r="AQ22" s="15"/>
    </row>
    <row r="23" spans="1:46" ht="102">
      <c r="A23" s="17"/>
      <c r="B23" s="17"/>
      <c r="C23" s="18"/>
      <c r="D23" s="18" t="s">
        <v>219</v>
      </c>
      <c r="E23" s="39" t="s">
        <v>190</v>
      </c>
      <c r="F23" s="39" t="s">
        <v>190</v>
      </c>
      <c r="G23" s="50"/>
      <c r="H23" s="39" t="s">
        <v>401</v>
      </c>
      <c r="I23" s="50"/>
      <c r="J23" s="50"/>
      <c r="K23" s="50"/>
      <c r="L23" s="40"/>
      <c r="M23" s="40"/>
      <c r="N23" s="40"/>
      <c r="O23" s="40"/>
      <c r="P23" s="40"/>
      <c r="Q23" s="39" t="s">
        <v>449</v>
      </c>
      <c r="R23" s="41"/>
      <c r="S23" s="41"/>
      <c r="T23" s="41"/>
      <c r="U23" s="41"/>
      <c r="V23" s="41"/>
      <c r="W23" s="39" t="s">
        <v>449</v>
      </c>
      <c r="X23" s="41"/>
      <c r="Y23" s="41"/>
      <c r="Z23" s="41"/>
      <c r="AA23" s="41"/>
      <c r="AB23" s="41"/>
      <c r="AC23" s="41" t="s">
        <v>441</v>
      </c>
      <c r="AD23" s="40"/>
      <c r="AE23" s="40"/>
      <c r="AF23" s="40"/>
      <c r="AG23" s="40"/>
      <c r="AH23" s="40"/>
      <c r="AI23" s="41" t="s">
        <v>441</v>
      </c>
      <c r="AJ23" s="40"/>
      <c r="AK23" s="40"/>
      <c r="AL23" s="40"/>
      <c r="AM23" s="40"/>
      <c r="AN23" s="40"/>
      <c r="AO23" s="41" t="s">
        <v>441</v>
      </c>
      <c r="AP23" s="41"/>
      <c r="AQ23" s="17"/>
    </row>
    <row r="24" spans="1:46" ht="63.75">
      <c r="A24" s="17"/>
      <c r="B24" s="17"/>
      <c r="C24" s="18"/>
      <c r="D24" s="18" t="s">
        <v>220</v>
      </c>
      <c r="E24" s="39" t="s">
        <v>190</v>
      </c>
      <c r="F24" s="39" t="s">
        <v>190</v>
      </c>
      <c r="G24" s="50"/>
      <c r="H24" s="41" t="s">
        <v>440</v>
      </c>
      <c r="I24" s="50"/>
      <c r="J24" s="50"/>
      <c r="K24" s="50"/>
      <c r="L24" s="40"/>
      <c r="M24" s="40"/>
      <c r="N24" s="40"/>
      <c r="O24" s="40"/>
      <c r="P24" s="40"/>
      <c r="Q24" s="41" t="s">
        <v>440</v>
      </c>
      <c r="R24" s="41"/>
      <c r="S24" s="41"/>
      <c r="T24" s="41"/>
      <c r="U24" s="41"/>
      <c r="V24" s="41"/>
      <c r="W24" s="41" t="s">
        <v>440</v>
      </c>
      <c r="X24" s="41"/>
      <c r="Y24" s="41"/>
      <c r="Z24" s="41"/>
      <c r="AA24" s="41"/>
      <c r="AB24" s="41"/>
      <c r="AC24" s="41" t="s">
        <v>440</v>
      </c>
      <c r="AD24" s="40"/>
      <c r="AE24" s="40"/>
      <c r="AF24" s="40"/>
      <c r="AG24" s="40"/>
      <c r="AH24" s="40"/>
      <c r="AI24" s="41" t="s">
        <v>440</v>
      </c>
      <c r="AJ24" s="40"/>
      <c r="AK24" s="40"/>
      <c r="AL24" s="40"/>
      <c r="AM24" s="40"/>
      <c r="AN24" s="40"/>
      <c r="AO24" s="41" t="s">
        <v>440</v>
      </c>
      <c r="AP24" s="41"/>
      <c r="AQ24" s="17"/>
    </row>
    <row r="25" spans="1:46">
      <c r="A25" s="17"/>
      <c r="B25" s="17"/>
      <c r="C25" s="18"/>
      <c r="D25" s="18" t="s">
        <v>221</v>
      </c>
      <c r="E25" s="39" t="s">
        <v>190</v>
      </c>
      <c r="F25" s="39" t="s">
        <v>190</v>
      </c>
      <c r="G25" s="50"/>
      <c r="H25" s="41" t="s">
        <v>222</v>
      </c>
      <c r="I25" s="50"/>
      <c r="J25" s="50"/>
      <c r="K25" s="50"/>
      <c r="L25" s="40"/>
      <c r="M25" s="40"/>
      <c r="N25" s="40"/>
      <c r="O25" s="40"/>
      <c r="P25" s="40"/>
      <c r="Q25" s="41" t="s">
        <v>223</v>
      </c>
      <c r="R25" s="41"/>
      <c r="S25" s="41"/>
      <c r="T25" s="41"/>
      <c r="U25" s="41"/>
      <c r="V25" s="41"/>
      <c r="W25" s="41" t="s">
        <v>223</v>
      </c>
      <c r="X25" s="41"/>
      <c r="Y25" s="41"/>
      <c r="Z25" s="41"/>
      <c r="AA25" s="41"/>
      <c r="AB25" s="41"/>
      <c r="AC25" s="41" t="s">
        <v>223</v>
      </c>
      <c r="AD25" s="40"/>
      <c r="AE25" s="40"/>
      <c r="AF25" s="40"/>
      <c r="AG25" s="40"/>
      <c r="AH25" s="40"/>
      <c r="AI25" s="41" t="s">
        <v>223</v>
      </c>
      <c r="AJ25" s="40"/>
      <c r="AK25" s="40"/>
      <c r="AL25" s="40"/>
      <c r="AM25" s="40"/>
      <c r="AN25" s="40"/>
      <c r="AO25" s="41" t="s">
        <v>223</v>
      </c>
      <c r="AP25" s="41"/>
      <c r="AQ25" s="17"/>
    </row>
    <row r="26" spans="1:46" ht="28.5" customHeight="1">
      <c r="A26" s="1">
        <v>1</v>
      </c>
      <c r="B26" s="1" t="s">
        <v>116</v>
      </c>
      <c r="C26" s="7" t="s">
        <v>224</v>
      </c>
      <c r="D26" s="7" t="s">
        <v>225</v>
      </c>
      <c r="E26" s="45">
        <v>20</v>
      </c>
      <c r="F26" s="45">
        <v>4</v>
      </c>
      <c r="G26" s="3" t="s">
        <v>107</v>
      </c>
      <c r="H26" s="23"/>
      <c r="I26" s="3" t="s">
        <v>194</v>
      </c>
      <c r="J26" s="3" t="s">
        <v>195</v>
      </c>
      <c r="K26" s="3"/>
      <c r="L26" s="28">
        <v>90500</v>
      </c>
      <c r="M26" s="28"/>
      <c r="N26" s="28"/>
      <c r="O26" s="28"/>
      <c r="P26" s="28"/>
      <c r="Q26" s="28">
        <f t="shared" ref="Q26:Q29" si="39">SUM(L26:P26)</f>
        <v>90500</v>
      </c>
      <c r="R26" s="28">
        <v>90500</v>
      </c>
      <c r="S26" s="28"/>
      <c r="T26" s="28"/>
      <c r="U26" s="28"/>
      <c r="V26" s="28"/>
      <c r="W26" s="28">
        <f t="shared" ref="W26:W29" si="40">SUM(R26:V26)</f>
        <v>90500</v>
      </c>
      <c r="X26" s="28">
        <v>90500</v>
      </c>
      <c r="Y26" s="28"/>
      <c r="Z26" s="28"/>
      <c r="AA26" s="28"/>
      <c r="AB26" s="28"/>
      <c r="AC26" s="28">
        <f t="shared" ref="AC26:AC28" si="41">SUM(X26:AB26)</f>
        <v>90500</v>
      </c>
      <c r="AD26" s="28">
        <v>90500</v>
      </c>
      <c r="AE26" s="28"/>
      <c r="AF26" s="28"/>
      <c r="AG26" s="28"/>
      <c r="AH26" s="28"/>
      <c r="AI26" s="28">
        <f t="shared" ref="AI26:AI29" si="42">SUM(AD26:AH26)</f>
        <v>90500</v>
      </c>
      <c r="AJ26" s="28">
        <v>90500</v>
      </c>
      <c r="AK26" s="28"/>
      <c r="AL26" s="28"/>
      <c r="AM26" s="28"/>
      <c r="AN26" s="28"/>
      <c r="AO26" s="28">
        <f t="shared" ref="AO26:AO29" si="43">SUM(AJ26:AN26)</f>
        <v>90500</v>
      </c>
      <c r="AP26" s="27">
        <f t="shared" ref="AP26:AP31" si="44">SUM(Q26,W26,AC26,AI26,AO26)</f>
        <v>452500</v>
      </c>
      <c r="AQ26" s="11"/>
    </row>
    <row r="27" spans="1:46" ht="25.5">
      <c r="A27" s="1">
        <v>1</v>
      </c>
      <c r="B27" s="1" t="s">
        <v>117</v>
      </c>
      <c r="C27" s="7" t="s">
        <v>226</v>
      </c>
      <c r="D27" s="7" t="s">
        <v>227</v>
      </c>
      <c r="E27" s="45">
        <v>20</v>
      </c>
      <c r="F27" s="45">
        <v>4</v>
      </c>
      <c r="G27" s="3" t="s">
        <v>107</v>
      </c>
      <c r="H27" s="22"/>
      <c r="I27" s="3" t="s">
        <v>194</v>
      </c>
      <c r="J27" s="3" t="s">
        <v>195</v>
      </c>
      <c r="K27" s="3"/>
      <c r="L27" s="28">
        <v>321330</v>
      </c>
      <c r="M27" s="28"/>
      <c r="N27" s="28"/>
      <c r="O27" s="28"/>
      <c r="P27" s="28"/>
      <c r="Q27" s="28">
        <f t="shared" si="39"/>
        <v>321330</v>
      </c>
      <c r="R27" s="28">
        <v>370000</v>
      </c>
      <c r="S27" s="28"/>
      <c r="T27" s="28"/>
      <c r="U27" s="28"/>
      <c r="V27" s="28"/>
      <c r="W27" s="28">
        <f t="shared" si="40"/>
        <v>370000</v>
      </c>
      <c r="X27" s="28">
        <v>370000</v>
      </c>
      <c r="Y27" s="28"/>
      <c r="Z27" s="28"/>
      <c r="AA27" s="28"/>
      <c r="AB27" s="28"/>
      <c r="AC27" s="28">
        <f t="shared" si="41"/>
        <v>370000</v>
      </c>
      <c r="AD27" s="28">
        <v>370000</v>
      </c>
      <c r="AE27" s="28"/>
      <c r="AF27" s="28"/>
      <c r="AG27" s="28"/>
      <c r="AH27" s="28"/>
      <c r="AI27" s="28">
        <f t="shared" si="42"/>
        <v>370000</v>
      </c>
      <c r="AJ27" s="28">
        <v>370000</v>
      </c>
      <c r="AK27" s="28"/>
      <c r="AL27" s="28"/>
      <c r="AM27" s="28"/>
      <c r="AN27" s="28"/>
      <c r="AO27" s="28">
        <f t="shared" si="43"/>
        <v>370000</v>
      </c>
      <c r="AP27" s="27">
        <f t="shared" si="44"/>
        <v>1801330</v>
      </c>
      <c r="AQ27" s="11"/>
    </row>
    <row r="28" spans="1:46">
      <c r="A28" s="1">
        <v>1</v>
      </c>
      <c r="B28" s="1" t="s">
        <v>118</v>
      </c>
      <c r="C28" s="7" t="s">
        <v>228</v>
      </c>
      <c r="D28" s="7" t="s">
        <v>229</v>
      </c>
      <c r="E28" s="45">
        <v>20</v>
      </c>
      <c r="F28" s="45">
        <v>4</v>
      </c>
      <c r="G28" s="3" t="s">
        <v>107</v>
      </c>
      <c r="H28" s="22"/>
      <c r="I28" s="3" t="s">
        <v>194</v>
      </c>
      <c r="J28" s="3" t="s">
        <v>195</v>
      </c>
      <c r="K28" s="3"/>
      <c r="L28" s="28">
        <v>8391</v>
      </c>
      <c r="M28" s="28"/>
      <c r="N28" s="28"/>
      <c r="O28" s="28"/>
      <c r="P28" s="28"/>
      <c r="Q28" s="28">
        <f t="shared" si="39"/>
        <v>8391</v>
      </c>
      <c r="R28" s="28">
        <v>22500</v>
      </c>
      <c r="S28" s="28"/>
      <c r="T28" s="28"/>
      <c r="U28" s="28"/>
      <c r="V28" s="28"/>
      <c r="W28" s="28">
        <f t="shared" si="40"/>
        <v>22500</v>
      </c>
      <c r="X28" s="28">
        <v>22500</v>
      </c>
      <c r="Y28" s="28"/>
      <c r="Z28" s="28"/>
      <c r="AA28" s="28"/>
      <c r="AB28" s="28"/>
      <c r="AC28" s="28">
        <f t="shared" si="41"/>
        <v>22500</v>
      </c>
      <c r="AD28" s="28">
        <v>22500</v>
      </c>
      <c r="AE28" s="28"/>
      <c r="AF28" s="28"/>
      <c r="AG28" s="28"/>
      <c r="AH28" s="28"/>
      <c r="AI28" s="28">
        <f t="shared" si="42"/>
        <v>22500</v>
      </c>
      <c r="AJ28" s="28">
        <v>22500</v>
      </c>
      <c r="AK28" s="28"/>
      <c r="AL28" s="28"/>
      <c r="AM28" s="28"/>
      <c r="AN28" s="28"/>
      <c r="AO28" s="28">
        <f t="shared" si="43"/>
        <v>22500</v>
      </c>
      <c r="AP28" s="27">
        <f t="shared" si="44"/>
        <v>98391</v>
      </c>
      <c r="AQ28" s="11"/>
    </row>
    <row r="29" spans="1:46" ht="25.5">
      <c r="A29" s="1">
        <v>1</v>
      </c>
      <c r="B29" s="1" t="s">
        <v>90</v>
      </c>
      <c r="C29" s="7" t="s">
        <v>230</v>
      </c>
      <c r="D29" s="7" t="s">
        <v>471</v>
      </c>
      <c r="E29" s="45">
        <v>20</v>
      </c>
      <c r="F29" s="45">
        <v>4</v>
      </c>
      <c r="G29" s="3" t="s">
        <v>89</v>
      </c>
      <c r="H29" s="22"/>
      <c r="I29" s="3"/>
      <c r="J29" s="3" t="s">
        <v>195</v>
      </c>
      <c r="K29" s="3"/>
      <c r="L29" s="117">
        <v>136000</v>
      </c>
      <c r="M29" s="28"/>
      <c r="N29" s="28"/>
      <c r="O29" s="28"/>
      <c r="P29" s="28"/>
      <c r="Q29" s="28">
        <f t="shared" si="39"/>
        <v>136000</v>
      </c>
      <c r="R29" s="117">
        <v>136000</v>
      </c>
      <c r="S29" s="28"/>
      <c r="T29" s="28"/>
      <c r="U29" s="28"/>
      <c r="V29" s="28"/>
      <c r="W29" s="28">
        <f t="shared" si="40"/>
        <v>136000</v>
      </c>
      <c r="X29" s="117">
        <v>136000</v>
      </c>
      <c r="Y29" s="28"/>
      <c r="Z29" s="28"/>
      <c r="AA29" s="28"/>
      <c r="AB29" s="28"/>
      <c r="AC29" s="28">
        <f>SUM(X29:AB29)</f>
        <v>136000</v>
      </c>
      <c r="AD29" s="117">
        <v>136000</v>
      </c>
      <c r="AE29" s="28"/>
      <c r="AF29" s="28"/>
      <c r="AG29" s="28"/>
      <c r="AH29" s="28"/>
      <c r="AI29" s="28">
        <f t="shared" si="42"/>
        <v>136000</v>
      </c>
      <c r="AJ29" s="117">
        <v>136000</v>
      </c>
      <c r="AK29" s="28"/>
      <c r="AL29" s="28"/>
      <c r="AM29" s="28"/>
      <c r="AN29" s="28"/>
      <c r="AO29" s="28">
        <f t="shared" si="43"/>
        <v>136000</v>
      </c>
      <c r="AP29" s="27">
        <f t="shared" si="44"/>
        <v>680000</v>
      </c>
      <c r="AQ29" s="11"/>
    </row>
    <row r="30" spans="1:46" ht="63.75">
      <c r="A30" s="1">
        <v>1</v>
      </c>
      <c r="B30" s="1" t="s">
        <v>91</v>
      </c>
      <c r="C30" s="7" t="s">
        <v>231</v>
      </c>
      <c r="D30" s="7" t="s">
        <v>232</v>
      </c>
      <c r="E30" s="45">
        <v>20</v>
      </c>
      <c r="F30" s="45">
        <v>4</v>
      </c>
      <c r="G30" s="3" t="s">
        <v>89</v>
      </c>
      <c r="H30" s="22"/>
      <c r="I30" s="3"/>
      <c r="J30" s="3" t="s">
        <v>233</v>
      </c>
      <c r="K30" s="3"/>
      <c r="L30" s="28"/>
      <c r="M30" s="28"/>
      <c r="N30" s="28"/>
      <c r="O30" s="28"/>
      <c r="P30" s="28"/>
      <c r="Q30" s="28">
        <f t="shared" ref="Q30" si="45">SUM(L30:P30)</f>
        <v>0</v>
      </c>
      <c r="R30" s="28"/>
      <c r="S30" s="28"/>
      <c r="T30" s="28"/>
      <c r="U30" s="28"/>
      <c r="V30" s="28"/>
      <c r="W30" s="28">
        <f t="shared" ref="W30" si="46">SUM(R30:V30)</f>
        <v>0</v>
      </c>
      <c r="X30" s="28"/>
      <c r="Y30" s="28"/>
      <c r="Z30" s="28"/>
      <c r="AA30" s="28"/>
      <c r="AB30" s="28"/>
      <c r="AC30" s="28">
        <f t="shared" ref="AC30" si="47">SUM(X30:AB30)</f>
        <v>0</v>
      </c>
      <c r="AD30" s="28"/>
      <c r="AE30" s="28"/>
      <c r="AF30" s="28"/>
      <c r="AG30" s="28"/>
      <c r="AH30" s="28"/>
      <c r="AI30" s="28">
        <f t="shared" ref="AI30" si="48">SUM(AD30:AH30)</f>
        <v>0</v>
      </c>
      <c r="AJ30" s="28"/>
      <c r="AK30" s="28"/>
      <c r="AL30" s="28"/>
      <c r="AM30" s="28"/>
      <c r="AN30" s="28"/>
      <c r="AO30" s="28">
        <f t="shared" ref="AO30" si="49">SUM(AJ30:AN30)</f>
        <v>0</v>
      </c>
      <c r="AP30" s="27">
        <f t="shared" si="44"/>
        <v>0</v>
      </c>
      <c r="AQ30" s="11"/>
    </row>
    <row r="31" spans="1:46" ht="25.5">
      <c r="A31" s="1">
        <v>1</v>
      </c>
      <c r="B31" s="1" t="s">
        <v>92</v>
      </c>
      <c r="C31" s="7" t="s">
        <v>234</v>
      </c>
      <c r="D31" s="7" t="s">
        <v>235</v>
      </c>
      <c r="E31" s="45">
        <v>20</v>
      </c>
      <c r="F31" s="45">
        <v>4</v>
      </c>
      <c r="G31" s="3" t="s">
        <v>89</v>
      </c>
      <c r="H31" s="22"/>
      <c r="I31" s="3"/>
      <c r="J31" s="3" t="s">
        <v>195</v>
      </c>
      <c r="K31" s="3"/>
      <c r="L31" s="117">
        <v>23500</v>
      </c>
      <c r="M31" s="28"/>
      <c r="N31" s="28"/>
      <c r="O31" s="28"/>
      <c r="P31" s="28"/>
      <c r="Q31" s="28">
        <f t="shared" ref="Q31" si="50">SUM(L31:P31)</f>
        <v>23500</v>
      </c>
      <c r="R31" s="117">
        <v>23500</v>
      </c>
      <c r="S31" s="28"/>
      <c r="T31" s="28"/>
      <c r="U31" s="28"/>
      <c r="V31" s="28"/>
      <c r="W31" s="28">
        <f t="shared" ref="W31" si="51">SUM(R31:V31)</f>
        <v>23500</v>
      </c>
      <c r="X31" s="117">
        <v>23500</v>
      </c>
      <c r="Y31" s="28"/>
      <c r="Z31" s="28"/>
      <c r="AA31" s="28"/>
      <c r="AB31" s="28"/>
      <c r="AC31" s="28">
        <f t="shared" ref="AC31" si="52">SUM(X31:AB31)</f>
        <v>23500</v>
      </c>
      <c r="AD31" s="28">
        <v>23500</v>
      </c>
      <c r="AE31" s="28"/>
      <c r="AF31" s="28"/>
      <c r="AG31" s="28"/>
      <c r="AH31" s="28"/>
      <c r="AI31" s="113">
        <v>23500</v>
      </c>
      <c r="AJ31" s="117">
        <v>23500</v>
      </c>
      <c r="AK31" s="28"/>
      <c r="AL31" s="28"/>
      <c r="AM31" s="28"/>
      <c r="AN31" s="28"/>
      <c r="AO31" s="28">
        <f t="shared" ref="AO31" si="53">SUM(AJ31:AN31)</f>
        <v>23500</v>
      </c>
      <c r="AP31" s="27">
        <f t="shared" si="44"/>
        <v>117500</v>
      </c>
      <c r="AQ31" s="11"/>
    </row>
    <row r="32" spans="1:46" s="4" customFormat="1" ht="38.25">
      <c r="A32" s="24"/>
      <c r="B32" s="24" t="s">
        <v>236</v>
      </c>
      <c r="C32" s="85" t="s">
        <v>237</v>
      </c>
      <c r="D32" s="57"/>
      <c r="E32" s="58"/>
      <c r="F32" s="58"/>
      <c r="G32" s="59"/>
      <c r="H32" s="57"/>
      <c r="I32" s="59"/>
      <c r="J32" s="59"/>
      <c r="K32" s="59"/>
      <c r="L32" s="29">
        <f>SUBTOTAL(9,L33:L57)</f>
        <v>403029</v>
      </c>
      <c r="M32" s="29">
        <f t="shared" ref="M32" si="54">SUBTOTAL(9,M33:M57)</f>
        <v>241177.35</v>
      </c>
      <c r="N32" s="29">
        <f t="shared" ref="N32:O32" si="55">SUBTOTAL(9,N33:N57)</f>
        <v>1720217.65</v>
      </c>
      <c r="O32" s="29">
        <f t="shared" si="55"/>
        <v>0</v>
      </c>
      <c r="P32" s="29">
        <f t="shared" ref="P32" si="56">SUBTOTAL(9,P33:P57)</f>
        <v>0</v>
      </c>
      <c r="Q32" s="30">
        <f t="shared" ref="Q32" si="57">SUBTOTAL(9,Q33:Q57)</f>
        <v>2364424</v>
      </c>
      <c r="R32" s="29">
        <f>SUBTOTAL(9,R33:R57)</f>
        <v>499029</v>
      </c>
      <c r="S32" s="29">
        <f t="shared" ref="S32:W32" si="58">SUBTOTAL(9,S33:S57)</f>
        <v>311589.3</v>
      </c>
      <c r="T32" s="29">
        <f t="shared" si="58"/>
        <v>1765672.7</v>
      </c>
      <c r="U32" s="29">
        <f t="shared" ref="U32" si="59">SUBTOTAL(9,U33:U57)</f>
        <v>0</v>
      </c>
      <c r="V32" s="29">
        <f t="shared" si="58"/>
        <v>0</v>
      </c>
      <c r="W32" s="30">
        <f t="shared" si="58"/>
        <v>2576291</v>
      </c>
      <c r="X32" s="29">
        <f>SUBTOTAL(9,X33:X57)</f>
        <v>535029</v>
      </c>
      <c r="Y32" s="29">
        <f t="shared" ref="Y32:AC32" si="60">SUBTOTAL(9,Y33:Y57)</f>
        <v>198260.85</v>
      </c>
      <c r="Z32" s="29">
        <f t="shared" si="60"/>
        <v>1123478.1499999999</v>
      </c>
      <c r="AA32" s="29">
        <f t="shared" ref="AA32" si="61">SUBTOTAL(9,AA33:AA57)</f>
        <v>0</v>
      </c>
      <c r="AB32" s="29">
        <f t="shared" si="60"/>
        <v>0</v>
      </c>
      <c r="AC32" s="30">
        <f t="shared" si="60"/>
        <v>1856768</v>
      </c>
      <c r="AD32" s="29">
        <f>SUBTOTAL(9,AD33:AD57)</f>
        <v>403029</v>
      </c>
      <c r="AE32" s="29">
        <f t="shared" ref="AE32" si="62">SUBTOTAL(9,AE33:AE57)</f>
        <v>150545.70000000001</v>
      </c>
      <c r="AF32" s="29">
        <f t="shared" ref="AF32:AG32" si="63">SUBTOTAL(9,AF33:AF57)</f>
        <v>853092.29999999993</v>
      </c>
      <c r="AG32" s="29">
        <f t="shared" si="63"/>
        <v>0</v>
      </c>
      <c r="AH32" s="29">
        <f t="shared" ref="AH32" si="64">SUBTOTAL(9,AH33:AH57)</f>
        <v>0</v>
      </c>
      <c r="AI32" s="30">
        <f t="shared" ref="AI32" si="65">SUBTOTAL(9,AI33:AI57)</f>
        <v>1406667</v>
      </c>
      <c r="AJ32" s="29">
        <f>SUBTOTAL(9,AJ33:AJ57)</f>
        <v>403029</v>
      </c>
      <c r="AK32" s="29">
        <f t="shared" ref="AK32" si="66">SUBTOTAL(9,AK33:AK57)</f>
        <v>137770.79999999999</v>
      </c>
      <c r="AL32" s="29">
        <f t="shared" ref="AL32:AM32" si="67">SUBTOTAL(9,AL33:AL57)</f>
        <v>780701.2</v>
      </c>
      <c r="AM32" s="29">
        <f t="shared" si="67"/>
        <v>0</v>
      </c>
      <c r="AN32" s="29">
        <f t="shared" ref="AN32" si="68">SUBTOTAL(9,AN33:AN57)</f>
        <v>0</v>
      </c>
      <c r="AO32" s="30">
        <f t="shared" ref="AO32" si="69">SUBTOTAL(9,AO33:AO57)</f>
        <v>1321501</v>
      </c>
      <c r="AP32" s="30">
        <f>SUBTOTAL(9,AP33:AP57)</f>
        <v>9525651</v>
      </c>
      <c r="AQ32" s="24"/>
    </row>
    <row r="33" spans="1:50" s="4" customFormat="1" ht="76.5">
      <c r="A33" s="15"/>
      <c r="B33" s="15" t="s">
        <v>238</v>
      </c>
      <c r="C33" s="16" t="s">
        <v>239</v>
      </c>
      <c r="D33" s="16" t="s">
        <v>240</v>
      </c>
      <c r="E33" s="47"/>
      <c r="F33" s="47"/>
      <c r="G33" s="54"/>
      <c r="H33" s="14"/>
      <c r="I33" s="54"/>
      <c r="J33" s="54"/>
      <c r="K33" s="54"/>
      <c r="L33" s="31">
        <f>SUBTOTAL(9,L37:L43)</f>
        <v>327029</v>
      </c>
      <c r="M33" s="31">
        <f t="shared" ref="M33:AO33" si="70">SUBTOTAL(9,M37:M43)</f>
        <v>229177.35</v>
      </c>
      <c r="N33" s="31">
        <f t="shared" si="70"/>
        <v>1652217.65</v>
      </c>
      <c r="O33" s="31">
        <f t="shared" si="70"/>
        <v>0</v>
      </c>
      <c r="P33" s="31">
        <f t="shared" si="70"/>
        <v>0</v>
      </c>
      <c r="Q33" s="32">
        <f t="shared" si="70"/>
        <v>2208424</v>
      </c>
      <c r="R33" s="31">
        <f>SUBTOTAL(9,R37:R43)</f>
        <v>393029</v>
      </c>
      <c r="S33" s="31">
        <f t="shared" si="70"/>
        <v>301089.3</v>
      </c>
      <c r="T33" s="31">
        <f t="shared" si="70"/>
        <v>1706172.7</v>
      </c>
      <c r="U33" s="31">
        <f t="shared" si="70"/>
        <v>0</v>
      </c>
      <c r="V33" s="31">
        <f t="shared" si="70"/>
        <v>0</v>
      </c>
      <c r="W33" s="32">
        <f>SUBTOTAL(9,W37:W43)</f>
        <v>2400291</v>
      </c>
      <c r="X33" s="31">
        <f>SUBTOTAL(9,X37:X43)</f>
        <v>459029</v>
      </c>
      <c r="Y33" s="31">
        <f t="shared" si="70"/>
        <v>195260.85</v>
      </c>
      <c r="Z33" s="31">
        <f t="shared" si="70"/>
        <v>1106478.1499999999</v>
      </c>
      <c r="AA33" s="31">
        <f t="shared" si="70"/>
        <v>0</v>
      </c>
      <c r="AB33" s="31">
        <f t="shared" si="70"/>
        <v>0</v>
      </c>
      <c r="AC33" s="32">
        <f t="shared" si="70"/>
        <v>1760768</v>
      </c>
      <c r="AD33" s="31">
        <f>SUBTOTAL(9,AD37:AD43)</f>
        <v>327029</v>
      </c>
      <c r="AE33" s="31">
        <f t="shared" si="70"/>
        <v>147545.70000000001</v>
      </c>
      <c r="AF33" s="31">
        <f t="shared" si="70"/>
        <v>836092.29999999993</v>
      </c>
      <c r="AG33" s="31">
        <f t="shared" si="70"/>
        <v>0</v>
      </c>
      <c r="AH33" s="31">
        <f t="shared" si="70"/>
        <v>0</v>
      </c>
      <c r="AI33" s="32">
        <f t="shared" si="70"/>
        <v>1310667</v>
      </c>
      <c r="AJ33" s="31">
        <f>SUBTOTAL(9,AJ37:AJ43)</f>
        <v>327029</v>
      </c>
      <c r="AK33" s="31">
        <f t="shared" si="70"/>
        <v>135520.79999999999</v>
      </c>
      <c r="AL33" s="31">
        <f t="shared" si="70"/>
        <v>767951.2</v>
      </c>
      <c r="AM33" s="31">
        <f t="shared" si="70"/>
        <v>0</v>
      </c>
      <c r="AN33" s="31">
        <f t="shared" si="70"/>
        <v>0</v>
      </c>
      <c r="AO33" s="32">
        <f t="shared" si="70"/>
        <v>1230501</v>
      </c>
      <c r="AP33" s="32">
        <f>SUBTOTAL(9,AP37:AP43)</f>
        <v>8910651</v>
      </c>
      <c r="AQ33" s="15"/>
    </row>
    <row r="34" spans="1:50" s="4" customFormat="1" ht="44.25" customHeight="1">
      <c r="A34" s="17"/>
      <c r="B34" s="17"/>
      <c r="C34" s="18"/>
      <c r="D34" s="18" t="s">
        <v>241</v>
      </c>
      <c r="E34" s="39" t="s">
        <v>190</v>
      </c>
      <c r="F34" s="39" t="s">
        <v>190</v>
      </c>
      <c r="G34" s="50"/>
      <c r="H34" s="39" t="s">
        <v>396</v>
      </c>
      <c r="I34" s="50"/>
      <c r="J34" s="50"/>
      <c r="K34" s="50"/>
      <c r="L34" s="40"/>
      <c r="M34" s="40"/>
      <c r="N34" s="40"/>
      <c r="O34" s="40"/>
      <c r="P34" s="40"/>
      <c r="Q34" s="41" t="s">
        <v>451</v>
      </c>
      <c r="R34" s="41"/>
      <c r="S34" s="41"/>
      <c r="T34" s="41"/>
      <c r="U34" s="41"/>
      <c r="V34" s="41"/>
      <c r="W34" s="41" t="s">
        <v>454</v>
      </c>
      <c r="X34" s="41"/>
      <c r="Y34" s="41"/>
      <c r="Z34" s="41"/>
      <c r="AA34" s="41"/>
      <c r="AB34" s="41"/>
      <c r="AC34" s="41" t="s">
        <v>450</v>
      </c>
      <c r="AD34" s="40"/>
      <c r="AE34" s="40"/>
      <c r="AF34" s="40"/>
      <c r="AG34" s="40"/>
      <c r="AH34" s="40"/>
      <c r="AI34" s="41" t="s">
        <v>454</v>
      </c>
      <c r="AJ34" s="40"/>
      <c r="AK34" s="40"/>
      <c r="AL34" s="40"/>
      <c r="AM34" s="40"/>
      <c r="AN34" s="40"/>
      <c r="AO34" s="41" t="s">
        <v>444</v>
      </c>
      <c r="AP34" s="41"/>
      <c r="AQ34" s="17"/>
    </row>
    <row r="35" spans="1:50" s="4" customFormat="1" ht="54.75" customHeight="1">
      <c r="A35" s="17"/>
      <c r="B35" s="17"/>
      <c r="C35" s="18"/>
      <c r="D35" s="18" t="s">
        <v>242</v>
      </c>
      <c r="E35" s="39" t="s">
        <v>190</v>
      </c>
      <c r="F35" s="39" t="s">
        <v>190</v>
      </c>
      <c r="G35" s="50"/>
      <c r="H35" s="41" t="s">
        <v>476</v>
      </c>
      <c r="I35" s="50"/>
      <c r="J35" s="50"/>
      <c r="K35" s="50"/>
      <c r="L35" s="40"/>
      <c r="M35" s="40"/>
      <c r="N35" s="40"/>
      <c r="O35" s="40"/>
      <c r="P35" s="40"/>
      <c r="Q35" s="41" t="s">
        <v>440</v>
      </c>
      <c r="R35" s="41"/>
      <c r="S35" s="41"/>
      <c r="T35" s="41"/>
      <c r="U35" s="41"/>
      <c r="V35" s="41"/>
      <c r="W35" s="41" t="s">
        <v>440</v>
      </c>
      <c r="X35" s="41"/>
      <c r="Y35" s="41"/>
      <c r="Z35" s="41"/>
      <c r="AA35" s="41"/>
      <c r="AB35" s="41"/>
      <c r="AC35" s="41" t="s">
        <v>440</v>
      </c>
      <c r="AD35" s="40"/>
      <c r="AE35" s="40"/>
      <c r="AF35" s="40"/>
      <c r="AG35" s="40"/>
      <c r="AH35" s="40"/>
      <c r="AI35" s="41" t="s">
        <v>440</v>
      </c>
      <c r="AJ35" s="40"/>
      <c r="AK35" s="40"/>
      <c r="AL35" s="40"/>
      <c r="AM35" s="40"/>
      <c r="AN35" s="40"/>
      <c r="AO35" s="41" t="s">
        <v>440</v>
      </c>
      <c r="AP35" s="41"/>
      <c r="AQ35" s="17"/>
    </row>
    <row r="36" spans="1:50" s="4" customFormat="1" ht="33.75" customHeight="1">
      <c r="A36" s="17"/>
      <c r="B36" s="17"/>
      <c r="C36" s="18"/>
      <c r="D36" s="18" t="s">
        <v>243</v>
      </c>
      <c r="E36" s="39" t="s">
        <v>190</v>
      </c>
      <c r="F36" s="39" t="s">
        <v>190</v>
      </c>
      <c r="G36" s="50"/>
      <c r="H36" s="42" t="s">
        <v>396</v>
      </c>
      <c r="I36" s="50"/>
      <c r="J36" s="50"/>
      <c r="K36" s="50"/>
      <c r="L36" s="40"/>
      <c r="M36" s="40"/>
      <c r="N36" s="40"/>
      <c r="O36" s="40"/>
      <c r="P36" s="40"/>
      <c r="Q36" s="41" t="s">
        <v>452</v>
      </c>
      <c r="R36" s="41"/>
      <c r="S36" s="41"/>
      <c r="T36" s="41"/>
      <c r="U36" s="41"/>
      <c r="V36" s="41"/>
      <c r="W36" s="41" t="s">
        <v>454</v>
      </c>
      <c r="X36" s="41"/>
      <c r="Y36" s="41"/>
      <c r="Z36" s="41"/>
      <c r="AA36" s="41"/>
      <c r="AB36" s="41"/>
      <c r="AC36" s="41" t="s">
        <v>453</v>
      </c>
      <c r="AD36" s="40"/>
      <c r="AE36" s="40"/>
      <c r="AF36" s="40"/>
      <c r="AG36" s="40"/>
      <c r="AH36" s="40"/>
      <c r="AI36" s="41" t="s">
        <v>454</v>
      </c>
      <c r="AJ36" s="40"/>
      <c r="AK36" s="40"/>
      <c r="AL36" s="40"/>
      <c r="AM36" s="40"/>
      <c r="AN36" s="40"/>
      <c r="AO36" s="41" t="s">
        <v>444</v>
      </c>
      <c r="AP36" s="41"/>
      <c r="AQ36" s="17"/>
    </row>
    <row r="37" spans="1:50" ht="38.25">
      <c r="A37" s="1">
        <v>2</v>
      </c>
      <c r="B37" s="1" t="s">
        <v>119</v>
      </c>
      <c r="C37" s="7" t="s">
        <v>244</v>
      </c>
      <c r="D37" s="7" t="s">
        <v>245</v>
      </c>
      <c r="E37" s="45" t="s">
        <v>198</v>
      </c>
      <c r="F37" s="45">
        <v>4</v>
      </c>
      <c r="G37" s="3" t="s">
        <v>107</v>
      </c>
      <c r="H37" s="7"/>
      <c r="I37" s="3"/>
      <c r="J37" s="3" t="s">
        <v>199</v>
      </c>
      <c r="K37" s="3" t="s">
        <v>195</v>
      </c>
      <c r="L37" s="28"/>
      <c r="M37" s="28">
        <f>1293980*0.15</f>
        <v>194097</v>
      </c>
      <c r="N37" s="28">
        <f>1293980*0.85</f>
        <v>1099883</v>
      </c>
      <c r="O37" s="28"/>
      <c r="P37" s="28"/>
      <c r="Q37" s="28">
        <f t="shared" ref="Q37:Q43" si="71">SUM(L37:P37)</f>
        <v>1293980</v>
      </c>
      <c r="R37" s="28"/>
      <c r="S37" s="28">
        <f>1297979*0.15</f>
        <v>194696.85</v>
      </c>
      <c r="T37" s="28">
        <f>1297979*0.85</f>
        <v>1103282.1499999999</v>
      </c>
      <c r="U37" s="28"/>
      <c r="V37" s="28"/>
      <c r="W37" s="28">
        <f t="shared" ref="W37:W43" si="72">SUM(R37:V37)</f>
        <v>1297979</v>
      </c>
      <c r="X37" s="28"/>
      <c r="Y37" s="28">
        <f>987000*0.15</f>
        <v>148050</v>
      </c>
      <c r="Z37" s="28">
        <f>987000*0.85</f>
        <v>838950</v>
      </c>
      <c r="AA37" s="28"/>
      <c r="AB37" s="28"/>
      <c r="AC37" s="28">
        <f t="shared" ref="AC37:AC43" si="73">SUM(X37:AB37)</f>
        <v>987000</v>
      </c>
      <c r="AD37" s="28"/>
      <c r="AE37" s="28">
        <f>775447*0.15</f>
        <v>116317.05</v>
      </c>
      <c r="AF37" s="28">
        <f>775447*0.85</f>
        <v>659129.94999999995</v>
      </c>
      <c r="AG37" s="28"/>
      <c r="AH37" s="28"/>
      <c r="AI37" s="28">
        <f t="shared" ref="AI37:AI43" si="74">SUM(AD37:AH37)</f>
        <v>775447</v>
      </c>
      <c r="AJ37" s="28"/>
      <c r="AK37" s="28">
        <f>711910*0.15</f>
        <v>106786.5</v>
      </c>
      <c r="AL37" s="28">
        <f>711910*0.85</f>
        <v>605123.5</v>
      </c>
      <c r="AM37" s="28"/>
      <c r="AN37" s="28"/>
      <c r="AO37" s="28">
        <f t="shared" ref="AO37:AO38" si="75">SUM(AJ37:AN37)</f>
        <v>711910</v>
      </c>
      <c r="AP37" s="27">
        <f t="shared" ref="AP37:AP41" si="76">SUM(Q37,W37,AC37,AI37,AO37)</f>
        <v>5066316</v>
      </c>
      <c r="AQ37" s="11"/>
      <c r="AR37" s="136"/>
      <c r="AS37" s="136"/>
      <c r="AT37" s="136"/>
      <c r="AU37" s="136"/>
      <c r="AV37" s="136"/>
      <c r="AW37" s="136"/>
      <c r="AX37" s="136"/>
    </row>
    <row r="38" spans="1:50" ht="61.5" customHeight="1">
      <c r="A38" s="1">
        <v>2</v>
      </c>
      <c r="B38" s="1" t="s">
        <v>120</v>
      </c>
      <c r="C38" s="7" t="s">
        <v>246</v>
      </c>
      <c r="D38" s="7" t="s">
        <v>519</v>
      </c>
      <c r="E38" s="45" t="s">
        <v>198</v>
      </c>
      <c r="F38" s="45">
        <v>4</v>
      </c>
      <c r="G38" s="3" t="s">
        <v>107</v>
      </c>
      <c r="H38" s="7"/>
      <c r="I38" s="3"/>
      <c r="J38" s="3" t="s">
        <v>199</v>
      </c>
      <c r="K38" s="3" t="s">
        <v>195</v>
      </c>
      <c r="L38" s="28"/>
      <c r="M38" s="28">
        <f>213869*0.15</f>
        <v>32080.35</v>
      </c>
      <c r="N38" s="28">
        <f>213869*0.85</f>
        <v>181788.65</v>
      </c>
      <c r="O38" s="28"/>
      <c r="P38" s="28"/>
      <c r="Q38" s="28">
        <f t="shared" si="71"/>
        <v>213869</v>
      </c>
      <c r="R38" s="28"/>
      <c r="S38" s="28">
        <f>211215*0.15</f>
        <v>31682.25</v>
      </c>
      <c r="T38" s="28">
        <f>211215*0.85</f>
        <v>179532.75</v>
      </c>
      <c r="U38" s="28"/>
      <c r="V38" s="28"/>
      <c r="W38" s="28">
        <f t="shared" si="72"/>
        <v>211215</v>
      </c>
      <c r="X38" s="28"/>
      <c r="Y38" s="28">
        <f>294739*0.15</f>
        <v>44210.85</v>
      </c>
      <c r="Z38" s="28">
        <f>294739*0.85</f>
        <v>250528.15</v>
      </c>
      <c r="AA38" s="28"/>
      <c r="AB38" s="28"/>
      <c r="AC38" s="28">
        <f t="shared" si="73"/>
        <v>294739</v>
      </c>
      <c r="AD38" s="28"/>
      <c r="AE38" s="28">
        <f>208191*0.15</f>
        <v>31228.649999999998</v>
      </c>
      <c r="AF38" s="28">
        <f>208191*0.85</f>
        <v>176962.35</v>
      </c>
      <c r="AG38" s="28"/>
      <c r="AH38" s="28"/>
      <c r="AI38" s="28">
        <f t="shared" si="74"/>
        <v>208191</v>
      </c>
      <c r="AJ38" s="28"/>
      <c r="AK38" s="28">
        <f>191562*0.15</f>
        <v>28734.3</v>
      </c>
      <c r="AL38" s="28">
        <f>191562*0.85</f>
        <v>162827.69999999998</v>
      </c>
      <c r="AM38" s="28"/>
      <c r="AN38" s="28"/>
      <c r="AO38" s="28">
        <f t="shared" si="75"/>
        <v>191561.99999999997</v>
      </c>
      <c r="AP38" s="27">
        <f t="shared" si="76"/>
        <v>1119576</v>
      </c>
      <c r="AQ38" s="11"/>
      <c r="AR38" s="136"/>
      <c r="AS38" s="136"/>
      <c r="AT38" s="136"/>
      <c r="AU38" s="136"/>
      <c r="AV38" s="136"/>
      <c r="AW38" s="136"/>
      <c r="AX38" s="136"/>
    </row>
    <row r="39" spans="1:50" ht="51">
      <c r="A39" s="1">
        <v>2</v>
      </c>
      <c r="B39" s="62" t="s">
        <v>121</v>
      </c>
      <c r="C39" s="6" t="s">
        <v>247</v>
      </c>
      <c r="D39" s="6" t="s">
        <v>248</v>
      </c>
      <c r="E39" s="44" t="s">
        <v>198</v>
      </c>
      <c r="F39" s="44">
        <v>4</v>
      </c>
      <c r="G39" s="3" t="s">
        <v>107</v>
      </c>
      <c r="H39" s="7"/>
      <c r="I39" s="3"/>
      <c r="J39" s="3" t="s">
        <v>199</v>
      </c>
      <c r="K39" s="3" t="s">
        <v>195</v>
      </c>
      <c r="L39" s="28"/>
      <c r="M39" s="28">
        <f>20000*0.15</f>
        <v>3000</v>
      </c>
      <c r="N39" s="28">
        <f>20000*0.85</f>
        <v>17000</v>
      </c>
      <c r="O39" s="28"/>
      <c r="P39" s="28"/>
      <c r="Q39" s="28">
        <f t="shared" si="71"/>
        <v>20000</v>
      </c>
      <c r="R39" s="28"/>
      <c r="S39" s="28">
        <f>20000*0.15</f>
        <v>3000</v>
      </c>
      <c r="T39" s="28">
        <f>20000*0.85</f>
        <v>17000</v>
      </c>
      <c r="U39" s="28"/>
      <c r="V39" s="28"/>
      <c r="W39" s="28">
        <f t="shared" si="72"/>
        <v>20000</v>
      </c>
      <c r="X39" s="28"/>
      <c r="Y39" s="28">
        <f>20000*0.15</f>
        <v>3000</v>
      </c>
      <c r="Z39" s="28">
        <f>20000*0.85</f>
        <v>17000</v>
      </c>
      <c r="AA39" s="28"/>
      <c r="AB39" s="28"/>
      <c r="AC39" s="28">
        <f t="shared" si="73"/>
        <v>20000</v>
      </c>
      <c r="AD39" s="28"/>
      <c r="AE39" s="28"/>
      <c r="AF39" s="28"/>
      <c r="AG39" s="28"/>
      <c r="AH39" s="28"/>
      <c r="AI39" s="28">
        <f t="shared" si="74"/>
        <v>0</v>
      </c>
      <c r="AJ39" s="28"/>
      <c r="AK39" s="28"/>
      <c r="AL39" s="28"/>
      <c r="AM39" s="28"/>
      <c r="AN39" s="28"/>
      <c r="AO39" s="28">
        <f t="shared" ref="AO39:AO41" si="77">SUM(AJ39:AN39)</f>
        <v>0</v>
      </c>
      <c r="AP39" s="27">
        <f t="shared" si="76"/>
        <v>60000</v>
      </c>
      <c r="AQ39" s="11"/>
      <c r="AR39" s="136"/>
      <c r="AS39" s="136"/>
      <c r="AT39" s="136"/>
      <c r="AU39" s="136"/>
      <c r="AV39" s="136"/>
      <c r="AW39" s="136"/>
      <c r="AX39" s="136"/>
    </row>
    <row r="40" spans="1:50" ht="45" customHeight="1">
      <c r="A40" s="1">
        <v>2</v>
      </c>
      <c r="B40" s="154" t="s">
        <v>122</v>
      </c>
      <c r="C40" s="6" t="s">
        <v>510</v>
      </c>
      <c r="D40" s="6" t="s">
        <v>512</v>
      </c>
      <c r="E40" s="44">
        <v>20</v>
      </c>
      <c r="F40" s="44"/>
      <c r="G40" s="3" t="s">
        <v>107</v>
      </c>
      <c r="H40" s="7"/>
      <c r="I40" s="3"/>
      <c r="J40" s="3"/>
      <c r="K40" s="3"/>
      <c r="L40" s="28">
        <v>0</v>
      </c>
      <c r="M40" s="28"/>
      <c r="N40" s="28"/>
      <c r="O40" s="28"/>
      <c r="P40" s="28"/>
      <c r="Q40" s="28">
        <v>0</v>
      </c>
      <c r="R40" s="28">
        <v>66000</v>
      </c>
      <c r="S40" s="28"/>
      <c r="T40" s="28"/>
      <c r="U40" s="28"/>
      <c r="V40" s="28"/>
      <c r="W40" s="28">
        <f>SUM(R40:V40)</f>
        <v>66000</v>
      </c>
      <c r="X40" s="28">
        <v>132000</v>
      </c>
      <c r="Y40" s="28"/>
      <c r="Z40" s="28"/>
      <c r="AA40" s="28"/>
      <c r="AB40" s="28"/>
      <c r="AC40" s="28">
        <f>SUM(X40:AB40)</f>
        <v>132000</v>
      </c>
      <c r="AD40" s="28">
        <v>0</v>
      </c>
      <c r="AE40" s="28"/>
      <c r="AF40" s="28"/>
      <c r="AG40" s="28"/>
      <c r="AH40" s="28"/>
      <c r="AI40" s="28">
        <f>SUM(AD40:AH40)</f>
        <v>0</v>
      </c>
      <c r="AJ40" s="28">
        <v>0</v>
      </c>
      <c r="AK40" s="28"/>
      <c r="AL40" s="28"/>
      <c r="AM40" s="28"/>
      <c r="AN40" s="28"/>
      <c r="AO40" s="28">
        <f t="shared" ref="AO40" si="78">SUM(AJ40:AN40)</f>
        <v>0</v>
      </c>
      <c r="AP40" s="27">
        <f t="shared" ref="AP40" si="79">SUM(Q40,W40,AC40,AI40,AO40)</f>
        <v>198000</v>
      </c>
      <c r="AQ40" s="11"/>
      <c r="AR40" s="136"/>
      <c r="AS40" s="136"/>
      <c r="AT40" s="136"/>
      <c r="AU40" s="136"/>
      <c r="AV40" s="136"/>
      <c r="AW40" s="136"/>
      <c r="AX40" s="136"/>
    </row>
    <row r="41" spans="1:50" s="133" customFormat="1" ht="51">
      <c r="A41" s="1">
        <v>2</v>
      </c>
      <c r="B41" s="62" t="s">
        <v>143</v>
      </c>
      <c r="C41" s="6" t="s">
        <v>249</v>
      </c>
      <c r="D41" s="6" t="s">
        <v>250</v>
      </c>
      <c r="E41" s="44">
        <v>20</v>
      </c>
      <c r="F41" s="44">
        <v>4</v>
      </c>
      <c r="G41" s="3" t="s">
        <v>107</v>
      </c>
      <c r="H41" s="8"/>
      <c r="I41" s="3"/>
      <c r="J41" s="3" t="s">
        <v>195</v>
      </c>
      <c r="K41" s="3"/>
      <c r="L41" s="27">
        <v>45000</v>
      </c>
      <c r="M41" s="27"/>
      <c r="N41" s="27"/>
      <c r="O41" s="27"/>
      <c r="P41" s="27"/>
      <c r="Q41" s="27">
        <f t="shared" si="71"/>
        <v>45000</v>
      </c>
      <c r="R41" s="27">
        <v>45000</v>
      </c>
      <c r="S41" s="27"/>
      <c r="T41" s="27"/>
      <c r="U41" s="27"/>
      <c r="V41" s="27"/>
      <c r="W41" s="27">
        <f t="shared" si="72"/>
        <v>45000</v>
      </c>
      <c r="X41" s="27">
        <v>45000</v>
      </c>
      <c r="Y41" s="27"/>
      <c r="Z41" s="27"/>
      <c r="AA41" s="27"/>
      <c r="AB41" s="27"/>
      <c r="AC41" s="27">
        <f t="shared" si="73"/>
        <v>45000</v>
      </c>
      <c r="AD41" s="27">
        <v>45000</v>
      </c>
      <c r="AE41" s="27"/>
      <c r="AF41" s="27"/>
      <c r="AG41" s="27"/>
      <c r="AH41" s="27"/>
      <c r="AI41" s="27">
        <f t="shared" si="74"/>
        <v>45000</v>
      </c>
      <c r="AJ41" s="27">
        <v>45000</v>
      </c>
      <c r="AK41" s="27"/>
      <c r="AL41" s="27"/>
      <c r="AM41" s="27"/>
      <c r="AN41" s="27"/>
      <c r="AO41" s="27">
        <f t="shared" si="77"/>
        <v>45000</v>
      </c>
      <c r="AP41" s="27">
        <f t="shared" si="76"/>
        <v>225000</v>
      </c>
      <c r="AQ41" s="87"/>
      <c r="AR41" s="137"/>
      <c r="AS41" s="137"/>
      <c r="AT41" s="137"/>
      <c r="AU41" s="137"/>
      <c r="AV41" s="137"/>
      <c r="AW41" s="137"/>
      <c r="AX41" s="137"/>
    </row>
    <row r="42" spans="1:50" s="133" customFormat="1" ht="51">
      <c r="A42" s="1">
        <v>2</v>
      </c>
      <c r="B42" s="62" t="s">
        <v>252</v>
      </c>
      <c r="C42" s="6" t="s">
        <v>251</v>
      </c>
      <c r="D42" s="6" t="s">
        <v>398</v>
      </c>
      <c r="E42" s="48">
        <v>20</v>
      </c>
      <c r="F42" s="48">
        <v>5</v>
      </c>
      <c r="G42" s="3" t="s">
        <v>141</v>
      </c>
      <c r="H42" s="8"/>
      <c r="I42" s="3"/>
      <c r="J42" s="3"/>
      <c r="K42" s="3"/>
      <c r="L42" s="118">
        <v>282029</v>
      </c>
      <c r="M42" s="27"/>
      <c r="N42" s="27"/>
      <c r="O42" s="27"/>
      <c r="P42" s="27"/>
      <c r="Q42" s="27">
        <f t="shared" si="71"/>
        <v>282029</v>
      </c>
      <c r="R42" s="118">
        <v>282029</v>
      </c>
      <c r="S42" s="27"/>
      <c r="T42" s="27"/>
      <c r="U42" s="27"/>
      <c r="V42" s="27"/>
      <c r="W42" s="27">
        <f t="shared" si="72"/>
        <v>282029</v>
      </c>
      <c r="X42" s="118">
        <v>282029</v>
      </c>
      <c r="Y42" s="27"/>
      <c r="Z42" s="27"/>
      <c r="AA42" s="27"/>
      <c r="AB42" s="27"/>
      <c r="AC42" s="27">
        <f t="shared" si="73"/>
        <v>282029</v>
      </c>
      <c r="AD42" s="118">
        <v>282029</v>
      </c>
      <c r="AE42" s="27"/>
      <c r="AF42" s="27"/>
      <c r="AG42" s="27"/>
      <c r="AH42" s="27"/>
      <c r="AI42" s="27">
        <f t="shared" si="74"/>
        <v>282029</v>
      </c>
      <c r="AJ42" s="118">
        <v>282029</v>
      </c>
      <c r="AK42" s="27"/>
      <c r="AL42" s="27"/>
      <c r="AM42" s="27"/>
      <c r="AN42" s="27"/>
      <c r="AO42" s="27">
        <f t="shared" ref="AO42" si="80">SUM(AJ42:AN42)</f>
        <v>282029</v>
      </c>
      <c r="AP42" s="27">
        <f>SUM(Q42,W42,AC42,AI42,AO42)</f>
        <v>1410145</v>
      </c>
      <c r="AQ42" s="87"/>
      <c r="AR42" s="137"/>
      <c r="AS42" s="137"/>
      <c r="AT42" s="137"/>
      <c r="AU42" s="137"/>
      <c r="AV42" s="137"/>
      <c r="AW42" s="137"/>
      <c r="AX42" s="137"/>
    </row>
    <row r="43" spans="1:50" s="133" customFormat="1" ht="33.75" customHeight="1">
      <c r="A43" s="1">
        <v>2</v>
      </c>
      <c r="B43" s="62" t="s">
        <v>511</v>
      </c>
      <c r="C43" s="119" t="s">
        <v>253</v>
      </c>
      <c r="D43" s="120" t="s">
        <v>254</v>
      </c>
      <c r="E43" s="121" t="s">
        <v>198</v>
      </c>
      <c r="F43" s="121">
        <v>4</v>
      </c>
      <c r="G43" s="3" t="s">
        <v>107</v>
      </c>
      <c r="H43" s="7"/>
      <c r="I43" s="3"/>
      <c r="J43" s="3" t="s">
        <v>199</v>
      </c>
      <c r="K43" s="3" t="s">
        <v>195</v>
      </c>
      <c r="L43" s="122"/>
      <c r="M43" s="28"/>
      <c r="N43" s="28">
        <f>353546</f>
        <v>353546</v>
      </c>
      <c r="O43" s="123"/>
      <c r="P43" s="123"/>
      <c r="Q43" s="27">
        <f t="shared" si="71"/>
        <v>353546</v>
      </c>
      <c r="R43" s="122"/>
      <c r="S43" s="28">
        <f>478068*0.15</f>
        <v>71710.2</v>
      </c>
      <c r="T43" s="28">
        <f>478068*0.85</f>
        <v>406357.8</v>
      </c>
      <c r="U43" s="123"/>
      <c r="V43" s="123"/>
      <c r="W43" s="27">
        <f t="shared" si="72"/>
        <v>478068</v>
      </c>
      <c r="X43" s="122"/>
      <c r="Y43" s="123"/>
      <c r="Z43" s="123"/>
      <c r="AA43" s="123"/>
      <c r="AB43" s="123"/>
      <c r="AC43" s="27">
        <f t="shared" si="73"/>
        <v>0</v>
      </c>
      <c r="AD43" s="122"/>
      <c r="AE43" s="123"/>
      <c r="AF43" s="123"/>
      <c r="AG43" s="123"/>
      <c r="AH43" s="123"/>
      <c r="AI43" s="27">
        <f t="shared" si="74"/>
        <v>0</v>
      </c>
      <c r="AJ43" s="122"/>
      <c r="AK43" s="123"/>
      <c r="AL43" s="123"/>
      <c r="AM43" s="123"/>
      <c r="AN43" s="123"/>
      <c r="AO43" s="27">
        <f t="shared" ref="AO43" si="81">SUM(AJ43:AN43)</f>
        <v>0</v>
      </c>
      <c r="AP43" s="27">
        <f t="shared" ref="AP43" si="82">SUM(Q43,W43,AC43,AI43,AO43)</f>
        <v>831614</v>
      </c>
      <c r="AQ43" s="114"/>
      <c r="AR43" s="137"/>
      <c r="AS43" s="137"/>
      <c r="AT43" s="137"/>
      <c r="AU43" s="137"/>
      <c r="AV43" s="137"/>
      <c r="AW43" s="137"/>
      <c r="AX43" s="137"/>
    </row>
    <row r="44" spans="1:50" ht="85.5" customHeight="1">
      <c r="A44" s="15"/>
      <c r="B44" s="15" t="s">
        <v>255</v>
      </c>
      <c r="C44" s="16" t="s">
        <v>256</v>
      </c>
      <c r="D44" s="16" t="s">
        <v>257</v>
      </c>
      <c r="E44" s="47"/>
      <c r="F44" s="47"/>
      <c r="G44" s="54"/>
      <c r="H44" s="88"/>
      <c r="I44" s="54"/>
      <c r="J44" s="54"/>
      <c r="K44" s="54"/>
      <c r="L44" s="31">
        <f t="shared" ref="L44:AO44" si="83">SUBTOTAL(9,L48:L52)</f>
        <v>51000</v>
      </c>
      <c r="M44" s="31">
        <f t="shared" si="83"/>
        <v>4500</v>
      </c>
      <c r="N44" s="31">
        <f t="shared" si="83"/>
        <v>25500</v>
      </c>
      <c r="O44" s="31">
        <f t="shared" si="83"/>
        <v>0</v>
      </c>
      <c r="P44" s="31">
        <f t="shared" si="83"/>
        <v>0</v>
      </c>
      <c r="Q44" s="32">
        <f t="shared" si="83"/>
        <v>81000</v>
      </c>
      <c r="R44" s="31">
        <f t="shared" si="83"/>
        <v>51000</v>
      </c>
      <c r="S44" s="31">
        <f t="shared" si="83"/>
        <v>3000</v>
      </c>
      <c r="T44" s="31">
        <f t="shared" si="83"/>
        <v>17000</v>
      </c>
      <c r="U44" s="31">
        <f t="shared" si="83"/>
        <v>0</v>
      </c>
      <c r="V44" s="31">
        <f t="shared" si="83"/>
        <v>0</v>
      </c>
      <c r="W44" s="32">
        <f t="shared" si="83"/>
        <v>71000</v>
      </c>
      <c r="X44" s="31">
        <f t="shared" si="83"/>
        <v>51000</v>
      </c>
      <c r="Y44" s="31">
        <f t="shared" si="83"/>
        <v>3000</v>
      </c>
      <c r="Z44" s="31">
        <f t="shared" si="83"/>
        <v>17000</v>
      </c>
      <c r="AA44" s="31">
        <f t="shared" si="83"/>
        <v>0</v>
      </c>
      <c r="AB44" s="31">
        <f t="shared" si="83"/>
        <v>0</v>
      </c>
      <c r="AC44" s="32">
        <f t="shared" si="83"/>
        <v>71000</v>
      </c>
      <c r="AD44" s="31">
        <f t="shared" si="83"/>
        <v>51000</v>
      </c>
      <c r="AE44" s="31">
        <f t="shared" si="83"/>
        <v>3000</v>
      </c>
      <c r="AF44" s="31">
        <f t="shared" si="83"/>
        <v>17000</v>
      </c>
      <c r="AG44" s="31">
        <f t="shared" si="83"/>
        <v>0</v>
      </c>
      <c r="AH44" s="31">
        <f t="shared" si="83"/>
        <v>0</v>
      </c>
      <c r="AI44" s="32">
        <f t="shared" si="83"/>
        <v>71000</v>
      </c>
      <c r="AJ44" s="31">
        <f t="shared" si="83"/>
        <v>51000</v>
      </c>
      <c r="AK44" s="31">
        <f t="shared" si="83"/>
        <v>2250</v>
      </c>
      <c r="AL44" s="31">
        <f t="shared" si="83"/>
        <v>12750</v>
      </c>
      <c r="AM44" s="31">
        <f t="shared" si="83"/>
        <v>0</v>
      </c>
      <c r="AN44" s="31">
        <f t="shared" si="83"/>
        <v>0</v>
      </c>
      <c r="AO44" s="32">
        <f t="shared" si="83"/>
        <v>66000</v>
      </c>
      <c r="AP44" s="32">
        <f>SUBTOTAL(9,AP48:AP52)</f>
        <v>360000</v>
      </c>
      <c r="AQ44" s="15"/>
      <c r="AR44" s="136"/>
      <c r="AS44" s="136"/>
      <c r="AT44" s="136"/>
      <c r="AU44" s="136"/>
      <c r="AV44" s="136"/>
      <c r="AW44" s="136"/>
      <c r="AX44" s="136"/>
    </row>
    <row r="45" spans="1:50" ht="25.5">
      <c r="A45" s="17"/>
      <c r="B45" s="17"/>
      <c r="C45" s="18"/>
      <c r="D45" s="18" t="s">
        <v>258</v>
      </c>
      <c r="E45" s="39" t="s">
        <v>190</v>
      </c>
      <c r="F45" s="39" t="s">
        <v>190</v>
      </c>
      <c r="G45" s="50"/>
      <c r="H45" s="42" t="s">
        <v>259</v>
      </c>
      <c r="I45" s="50"/>
      <c r="J45" s="50"/>
      <c r="K45" s="50"/>
      <c r="L45" s="40"/>
      <c r="M45" s="40"/>
      <c r="N45" s="40"/>
      <c r="O45" s="40"/>
      <c r="P45" s="40"/>
      <c r="Q45" s="41" t="s">
        <v>260</v>
      </c>
      <c r="R45" s="41"/>
      <c r="S45" s="41"/>
      <c r="T45" s="41"/>
      <c r="U45" s="41"/>
      <c r="V45" s="41"/>
      <c r="W45" s="41" t="s">
        <v>260</v>
      </c>
      <c r="X45" s="41"/>
      <c r="Y45" s="41"/>
      <c r="Z45" s="41"/>
      <c r="AA45" s="41"/>
      <c r="AB45" s="41"/>
      <c r="AC45" s="41" t="s">
        <v>260</v>
      </c>
      <c r="AD45" s="40"/>
      <c r="AE45" s="40"/>
      <c r="AF45" s="40"/>
      <c r="AG45" s="40"/>
      <c r="AH45" s="40"/>
      <c r="AI45" s="41" t="s">
        <v>260</v>
      </c>
      <c r="AJ45" s="40"/>
      <c r="AK45" s="40"/>
      <c r="AL45" s="40"/>
      <c r="AM45" s="40"/>
      <c r="AN45" s="40"/>
      <c r="AO45" s="41" t="s">
        <v>260</v>
      </c>
      <c r="AP45" s="41"/>
      <c r="AQ45" s="17"/>
    </row>
    <row r="46" spans="1:50" ht="72.75" customHeight="1">
      <c r="A46" s="17"/>
      <c r="B46" s="17"/>
      <c r="C46" s="18"/>
      <c r="D46" s="18" t="s">
        <v>261</v>
      </c>
      <c r="E46" s="39" t="s">
        <v>190</v>
      </c>
      <c r="F46" s="39" t="s">
        <v>190</v>
      </c>
      <c r="G46" s="50"/>
      <c r="H46" s="41" t="s">
        <v>440</v>
      </c>
      <c r="I46" s="50"/>
      <c r="J46" s="50"/>
      <c r="K46" s="50"/>
      <c r="L46" s="40"/>
      <c r="M46" s="40"/>
      <c r="N46" s="40"/>
      <c r="O46" s="40"/>
      <c r="P46" s="40"/>
      <c r="Q46" s="41" t="s">
        <v>440</v>
      </c>
      <c r="R46" s="41"/>
      <c r="S46" s="41"/>
      <c r="T46" s="41"/>
      <c r="U46" s="41"/>
      <c r="V46" s="41"/>
      <c r="W46" s="41" t="s">
        <v>440</v>
      </c>
      <c r="X46" s="41"/>
      <c r="Y46" s="41"/>
      <c r="Z46" s="41"/>
      <c r="AA46" s="41"/>
      <c r="AB46" s="41"/>
      <c r="AC46" s="41" t="s">
        <v>440</v>
      </c>
      <c r="AD46" s="40"/>
      <c r="AE46" s="40"/>
      <c r="AF46" s="40"/>
      <c r="AG46" s="40"/>
      <c r="AH46" s="40"/>
      <c r="AI46" s="41" t="s">
        <v>440</v>
      </c>
      <c r="AJ46" s="40"/>
      <c r="AK46" s="40"/>
      <c r="AL46" s="40"/>
      <c r="AM46" s="40"/>
      <c r="AN46" s="40"/>
      <c r="AO46" s="41" t="s">
        <v>440</v>
      </c>
      <c r="AP46" s="41"/>
      <c r="AQ46" s="17"/>
    </row>
    <row r="47" spans="1:50">
      <c r="A47" s="17"/>
      <c r="B47" s="17"/>
      <c r="C47" s="18"/>
      <c r="D47" s="18" t="s">
        <v>262</v>
      </c>
      <c r="E47" s="39" t="s">
        <v>190</v>
      </c>
      <c r="F47" s="39" t="s">
        <v>190</v>
      </c>
      <c r="G47" s="50"/>
      <c r="H47" s="42" t="s">
        <v>263</v>
      </c>
      <c r="I47" s="50"/>
      <c r="J47" s="50"/>
      <c r="K47" s="50"/>
      <c r="L47" s="40"/>
      <c r="M47" s="40"/>
      <c r="N47" s="40"/>
      <c r="O47" s="40"/>
      <c r="P47" s="40"/>
      <c r="Q47" s="42" t="s">
        <v>264</v>
      </c>
      <c r="R47" s="41"/>
      <c r="S47" s="41"/>
      <c r="T47" s="41"/>
      <c r="U47" s="41"/>
      <c r="V47" s="41"/>
      <c r="W47" s="42" t="s">
        <v>264</v>
      </c>
      <c r="X47" s="41"/>
      <c r="Y47" s="41"/>
      <c r="Z47" s="41"/>
      <c r="AA47" s="41"/>
      <c r="AB47" s="41"/>
      <c r="AC47" s="42" t="s">
        <v>264</v>
      </c>
      <c r="AD47" s="40"/>
      <c r="AE47" s="40"/>
      <c r="AF47" s="40"/>
      <c r="AG47" s="40"/>
      <c r="AH47" s="40"/>
      <c r="AI47" s="42" t="s">
        <v>264</v>
      </c>
      <c r="AJ47" s="40"/>
      <c r="AK47" s="40"/>
      <c r="AL47" s="40"/>
      <c r="AM47" s="40"/>
      <c r="AN47" s="40"/>
      <c r="AO47" s="41" t="s">
        <v>264</v>
      </c>
      <c r="AP47" s="41"/>
      <c r="AQ47" s="17"/>
    </row>
    <row r="48" spans="1:50" s="2" customFormat="1" ht="63.75">
      <c r="A48" s="1">
        <v>2</v>
      </c>
      <c r="B48" s="1" t="s">
        <v>123</v>
      </c>
      <c r="C48" s="7" t="s">
        <v>265</v>
      </c>
      <c r="D48" s="9" t="s">
        <v>266</v>
      </c>
      <c r="E48" s="46" t="s">
        <v>198</v>
      </c>
      <c r="F48" s="46">
        <v>4</v>
      </c>
      <c r="G48" s="3" t="s">
        <v>107</v>
      </c>
      <c r="H48" s="10"/>
      <c r="I48" s="3"/>
      <c r="J48" s="3" t="s">
        <v>199</v>
      </c>
      <c r="K48" s="3" t="s">
        <v>195</v>
      </c>
      <c r="L48" s="28"/>
      <c r="M48" s="28">
        <f>30000*0.15</f>
        <v>4500</v>
      </c>
      <c r="N48" s="28">
        <f>30000*0.85</f>
        <v>25500</v>
      </c>
      <c r="O48" s="28"/>
      <c r="P48" s="28"/>
      <c r="Q48" s="33">
        <f>SUM(L48:P48)</f>
        <v>30000</v>
      </c>
      <c r="R48" s="28"/>
      <c r="S48" s="28">
        <f>20000*0.15</f>
        <v>3000</v>
      </c>
      <c r="T48" s="28">
        <f>0.85*20000</f>
        <v>17000</v>
      </c>
      <c r="U48" s="33"/>
      <c r="V48" s="33"/>
      <c r="W48" s="33">
        <f>SUM(R48:V48)</f>
        <v>20000</v>
      </c>
      <c r="X48" s="33"/>
      <c r="Y48" s="28">
        <f>20000*0.15</f>
        <v>3000</v>
      </c>
      <c r="Z48" s="28">
        <f>0.85*20000</f>
        <v>17000</v>
      </c>
      <c r="AA48" s="33"/>
      <c r="AB48" s="33"/>
      <c r="AC48" s="33">
        <f>SUM(X48:AB48)</f>
        <v>20000</v>
      </c>
      <c r="AD48" s="28"/>
      <c r="AE48" s="28">
        <f>20000*0.15</f>
        <v>3000</v>
      </c>
      <c r="AF48" s="28">
        <f>0.85*20000</f>
        <v>17000</v>
      </c>
      <c r="AG48" s="28"/>
      <c r="AH48" s="28"/>
      <c r="AI48" s="33">
        <f>SUM(AD48:AH48)</f>
        <v>20000</v>
      </c>
      <c r="AJ48" s="28"/>
      <c r="AK48" s="28">
        <f>15000*0.15</f>
        <v>2250</v>
      </c>
      <c r="AL48" s="28">
        <f>0.85*15000</f>
        <v>12750</v>
      </c>
      <c r="AM48" s="28"/>
      <c r="AN48" s="28"/>
      <c r="AO48" s="33">
        <f>SUM(AJ48:AN48)</f>
        <v>15000</v>
      </c>
      <c r="AP48" s="27">
        <f t="shared" ref="AP48:AP52" si="84">SUM(Q48,W48,AC48,AI48,AO48)</f>
        <v>105000</v>
      </c>
      <c r="AQ48" s="11"/>
    </row>
    <row r="49" spans="1:50" s="2" customFormat="1" ht="38.25">
      <c r="A49" s="1">
        <v>2</v>
      </c>
      <c r="B49" s="1" t="s">
        <v>132</v>
      </c>
      <c r="C49" s="7" t="s">
        <v>267</v>
      </c>
      <c r="D49" s="9" t="s">
        <v>268</v>
      </c>
      <c r="E49" s="46"/>
      <c r="F49" s="46"/>
      <c r="G49" s="3" t="s">
        <v>128</v>
      </c>
      <c r="H49" s="10"/>
      <c r="I49" s="3"/>
      <c r="J49" s="3" t="s">
        <v>269</v>
      </c>
      <c r="K49" s="3"/>
      <c r="L49" s="28"/>
      <c r="M49" s="28"/>
      <c r="N49" s="28"/>
      <c r="O49" s="28"/>
      <c r="P49" s="28"/>
      <c r="Q49" s="33">
        <f>SUM(L49:P49)</f>
        <v>0</v>
      </c>
      <c r="R49" s="33"/>
      <c r="S49" s="33"/>
      <c r="T49" s="33"/>
      <c r="U49" s="33"/>
      <c r="V49" s="33"/>
      <c r="W49" s="33">
        <f>SUM(R49:V49)</f>
        <v>0</v>
      </c>
      <c r="X49" s="33"/>
      <c r="Y49" s="33"/>
      <c r="Z49" s="33"/>
      <c r="AA49" s="33"/>
      <c r="AB49" s="33"/>
      <c r="AC49" s="33">
        <f>SUM(X49:AB49)</f>
        <v>0</v>
      </c>
      <c r="AD49" s="28"/>
      <c r="AE49" s="28"/>
      <c r="AF49" s="28"/>
      <c r="AG49" s="28"/>
      <c r="AH49" s="28"/>
      <c r="AI49" s="33">
        <f>SUM(AD49:AH49)</f>
        <v>0</v>
      </c>
      <c r="AJ49" s="28"/>
      <c r="AK49" s="28"/>
      <c r="AL49" s="28"/>
      <c r="AM49" s="28"/>
      <c r="AN49" s="28"/>
      <c r="AO49" s="33">
        <f>SUM(AJ49:AN49)</f>
        <v>0</v>
      </c>
      <c r="AP49" s="27">
        <f t="shared" si="84"/>
        <v>0</v>
      </c>
      <c r="AQ49" s="1" t="s">
        <v>270</v>
      </c>
    </row>
    <row r="50" spans="1:50" s="2" customFormat="1" ht="36" customHeight="1">
      <c r="A50" s="1">
        <v>2</v>
      </c>
      <c r="B50" s="1" t="s">
        <v>124</v>
      </c>
      <c r="C50" s="7" t="s">
        <v>271</v>
      </c>
      <c r="D50" s="9" t="s">
        <v>272</v>
      </c>
      <c r="E50" s="46" t="s">
        <v>198</v>
      </c>
      <c r="F50" s="46">
        <v>4</v>
      </c>
      <c r="G50" s="3" t="s">
        <v>107</v>
      </c>
      <c r="H50" s="6"/>
      <c r="I50" s="3"/>
      <c r="J50" s="3" t="s">
        <v>195</v>
      </c>
      <c r="K50" s="3"/>
      <c r="L50" s="28">
        <v>21000</v>
      </c>
      <c r="M50" s="28"/>
      <c r="N50" s="28"/>
      <c r="O50" s="28"/>
      <c r="P50" s="28"/>
      <c r="Q50" s="33">
        <f>SUM(L50:P50)</f>
        <v>21000</v>
      </c>
      <c r="R50" s="28">
        <v>21000</v>
      </c>
      <c r="S50" s="33"/>
      <c r="T50" s="33"/>
      <c r="U50" s="33"/>
      <c r="V50" s="33"/>
      <c r="W50" s="33">
        <f>SUM(R50:V50)</f>
        <v>21000</v>
      </c>
      <c r="X50" s="33">
        <v>21000</v>
      </c>
      <c r="Y50" s="33"/>
      <c r="Z50" s="33"/>
      <c r="AA50" s="33"/>
      <c r="AB50" s="33"/>
      <c r="AC50" s="33">
        <f>SUM(X50:AB50)</f>
        <v>21000</v>
      </c>
      <c r="AD50" s="28">
        <v>21000</v>
      </c>
      <c r="AE50" s="28"/>
      <c r="AF50" s="28"/>
      <c r="AG50" s="28"/>
      <c r="AH50" s="28"/>
      <c r="AI50" s="33">
        <f>SUM(AD50:AH50)</f>
        <v>21000</v>
      </c>
      <c r="AJ50" s="28">
        <v>21000</v>
      </c>
      <c r="AK50" s="28"/>
      <c r="AL50" s="28"/>
      <c r="AM50" s="28"/>
      <c r="AN50" s="28"/>
      <c r="AO50" s="33">
        <f>SUM(AJ50:AN50)</f>
        <v>21000</v>
      </c>
      <c r="AP50" s="27">
        <f t="shared" si="84"/>
        <v>105000</v>
      </c>
      <c r="AQ50" s="11"/>
    </row>
    <row r="51" spans="1:50" s="2" customFormat="1" ht="25.5">
      <c r="A51" s="1">
        <v>2</v>
      </c>
      <c r="B51" s="1" t="s">
        <v>513</v>
      </c>
      <c r="C51" s="7" t="s">
        <v>273</v>
      </c>
      <c r="D51" s="9" t="s">
        <v>274</v>
      </c>
      <c r="E51" s="46">
        <v>20</v>
      </c>
      <c r="F51" s="46">
        <v>5</v>
      </c>
      <c r="G51" s="3" t="s">
        <v>141</v>
      </c>
      <c r="H51" s="6"/>
      <c r="I51" s="3"/>
      <c r="J51" s="3"/>
      <c r="K51" s="3"/>
      <c r="L51" s="28">
        <v>5000</v>
      </c>
      <c r="M51" s="28"/>
      <c r="N51" s="28"/>
      <c r="O51" s="28"/>
      <c r="P51" s="28"/>
      <c r="Q51" s="33">
        <f t="shared" ref="Q51:Q52" si="85">SUM(L51:P51)</f>
        <v>5000</v>
      </c>
      <c r="R51" s="28">
        <v>5000</v>
      </c>
      <c r="S51" s="33"/>
      <c r="T51" s="33"/>
      <c r="U51" s="33"/>
      <c r="V51" s="33"/>
      <c r="W51" s="33">
        <f t="shared" ref="W51:W52" si="86">SUM(R51:V51)</f>
        <v>5000</v>
      </c>
      <c r="X51" s="28">
        <v>5000</v>
      </c>
      <c r="Y51" s="33"/>
      <c r="Z51" s="33"/>
      <c r="AA51" s="33"/>
      <c r="AB51" s="33"/>
      <c r="AC51" s="33">
        <f t="shared" ref="AC51:AC52" si="87">SUM(X51:AB51)</f>
        <v>5000</v>
      </c>
      <c r="AD51" s="28">
        <v>5000</v>
      </c>
      <c r="AE51" s="28"/>
      <c r="AF51" s="28"/>
      <c r="AG51" s="28"/>
      <c r="AH51" s="28"/>
      <c r="AI51" s="33">
        <f t="shared" ref="AI51:AI52" si="88">SUM(AD51:AH51)</f>
        <v>5000</v>
      </c>
      <c r="AJ51" s="28">
        <v>5000</v>
      </c>
      <c r="AK51" s="28"/>
      <c r="AL51" s="28"/>
      <c r="AM51" s="28"/>
      <c r="AN51" s="28"/>
      <c r="AO51" s="33">
        <f t="shared" ref="AO51:AO52" si="89">SUM(AJ51:AN51)</f>
        <v>5000</v>
      </c>
      <c r="AP51" s="27">
        <f t="shared" si="84"/>
        <v>25000</v>
      </c>
      <c r="AQ51" s="11"/>
    </row>
    <row r="52" spans="1:50" s="2" customFormat="1" ht="25.5">
      <c r="A52" s="1">
        <v>2</v>
      </c>
      <c r="B52" s="1" t="s">
        <v>142</v>
      </c>
      <c r="C52" s="7" t="s">
        <v>275</v>
      </c>
      <c r="D52" s="9" t="s">
        <v>276</v>
      </c>
      <c r="E52" s="46">
        <v>20</v>
      </c>
      <c r="F52" s="46">
        <v>5</v>
      </c>
      <c r="G52" s="3" t="s">
        <v>141</v>
      </c>
      <c r="H52" s="6"/>
      <c r="I52" s="3"/>
      <c r="J52" s="3"/>
      <c r="K52" s="3"/>
      <c r="L52" s="28">
        <v>25000</v>
      </c>
      <c r="M52" s="28"/>
      <c r="N52" s="28"/>
      <c r="O52" s="28"/>
      <c r="P52" s="28"/>
      <c r="Q52" s="33">
        <f t="shared" si="85"/>
        <v>25000</v>
      </c>
      <c r="R52" s="28">
        <v>25000</v>
      </c>
      <c r="S52" s="33"/>
      <c r="T52" s="33"/>
      <c r="U52" s="33"/>
      <c r="V52" s="33"/>
      <c r="W52" s="33">
        <f t="shared" si="86"/>
        <v>25000</v>
      </c>
      <c r="X52" s="28">
        <v>25000</v>
      </c>
      <c r="Y52" s="33"/>
      <c r="Z52" s="33"/>
      <c r="AA52" s="33"/>
      <c r="AB52" s="33"/>
      <c r="AC52" s="33">
        <f t="shared" si="87"/>
        <v>25000</v>
      </c>
      <c r="AD52" s="28">
        <v>25000</v>
      </c>
      <c r="AE52" s="28"/>
      <c r="AF52" s="28"/>
      <c r="AG52" s="28"/>
      <c r="AH52" s="28"/>
      <c r="AI52" s="33">
        <f t="shared" si="88"/>
        <v>25000</v>
      </c>
      <c r="AJ52" s="28">
        <v>25000</v>
      </c>
      <c r="AK52" s="28"/>
      <c r="AL52" s="28"/>
      <c r="AM52" s="28"/>
      <c r="AN52" s="28"/>
      <c r="AO52" s="33">
        <f t="shared" si="89"/>
        <v>25000</v>
      </c>
      <c r="AP52" s="27">
        <f t="shared" si="84"/>
        <v>125000</v>
      </c>
      <c r="AQ52" s="11"/>
    </row>
    <row r="53" spans="1:50" ht="38.25">
      <c r="A53" s="15"/>
      <c r="B53" s="15" t="s">
        <v>277</v>
      </c>
      <c r="C53" s="16" t="s">
        <v>278</v>
      </c>
      <c r="D53" s="16" t="s">
        <v>279</v>
      </c>
      <c r="E53" s="47"/>
      <c r="F53" s="47"/>
      <c r="G53" s="54"/>
      <c r="H53" s="88"/>
      <c r="I53" s="54"/>
      <c r="J53" s="54"/>
      <c r="K53" s="54"/>
      <c r="L53" s="31">
        <f>SUBTOTAL(9,L55:L57)</f>
        <v>25000</v>
      </c>
      <c r="M53" s="31">
        <f t="shared" ref="M53:AO53" si="90">SUBTOTAL(9,M55:M57)</f>
        <v>7500</v>
      </c>
      <c r="N53" s="31">
        <f t="shared" si="90"/>
        <v>42500</v>
      </c>
      <c r="O53" s="31">
        <f t="shared" si="90"/>
        <v>0</v>
      </c>
      <c r="P53" s="31">
        <f t="shared" si="90"/>
        <v>0</v>
      </c>
      <c r="Q53" s="32">
        <f t="shared" si="90"/>
        <v>75000</v>
      </c>
      <c r="R53" s="31">
        <f>SUBTOTAL(9,R55:R57)</f>
        <v>55000</v>
      </c>
      <c r="S53" s="31">
        <f t="shared" si="90"/>
        <v>7500</v>
      </c>
      <c r="T53" s="31">
        <f t="shared" si="90"/>
        <v>42500</v>
      </c>
      <c r="U53" s="31">
        <f t="shared" si="90"/>
        <v>0</v>
      </c>
      <c r="V53" s="31">
        <f t="shared" si="90"/>
        <v>0</v>
      </c>
      <c r="W53" s="32">
        <f t="shared" si="90"/>
        <v>105000</v>
      </c>
      <c r="X53" s="31">
        <f>SUBTOTAL(9,X55:X57)</f>
        <v>25000</v>
      </c>
      <c r="Y53" s="31">
        <f t="shared" si="90"/>
        <v>0</v>
      </c>
      <c r="Z53" s="31">
        <f t="shared" si="90"/>
        <v>0</v>
      </c>
      <c r="AA53" s="31">
        <f t="shared" si="90"/>
        <v>0</v>
      </c>
      <c r="AB53" s="31">
        <f t="shared" si="90"/>
        <v>0</v>
      </c>
      <c r="AC53" s="32">
        <f t="shared" si="90"/>
        <v>25000</v>
      </c>
      <c r="AD53" s="31">
        <f>SUBTOTAL(9,AD55:AD57)</f>
        <v>25000</v>
      </c>
      <c r="AE53" s="31">
        <f t="shared" si="90"/>
        <v>0</v>
      </c>
      <c r="AF53" s="31">
        <f t="shared" si="90"/>
        <v>0</v>
      </c>
      <c r="AG53" s="31">
        <f t="shared" si="90"/>
        <v>0</v>
      </c>
      <c r="AH53" s="31">
        <f t="shared" si="90"/>
        <v>0</v>
      </c>
      <c r="AI53" s="32">
        <f t="shared" si="90"/>
        <v>25000</v>
      </c>
      <c r="AJ53" s="31">
        <f>SUBTOTAL(9,AJ55:AJ57)</f>
        <v>25000</v>
      </c>
      <c r="AK53" s="31">
        <f t="shared" si="90"/>
        <v>0</v>
      </c>
      <c r="AL53" s="31">
        <f t="shared" si="90"/>
        <v>0</v>
      </c>
      <c r="AM53" s="31">
        <f t="shared" si="90"/>
        <v>0</v>
      </c>
      <c r="AN53" s="31">
        <f t="shared" si="90"/>
        <v>0</v>
      </c>
      <c r="AO53" s="32">
        <f t="shared" si="90"/>
        <v>25000</v>
      </c>
      <c r="AP53" s="32">
        <f>SUBTOTAL(9,AP55:AP57)</f>
        <v>255000</v>
      </c>
      <c r="AQ53" s="15"/>
      <c r="AR53" s="136"/>
      <c r="AS53" s="136"/>
      <c r="AT53" s="136"/>
      <c r="AU53" s="136"/>
      <c r="AV53" s="136"/>
      <c r="AW53" s="136"/>
      <c r="AX53" s="136"/>
    </row>
    <row r="54" spans="1:50" ht="51.75" customHeight="1">
      <c r="A54" s="17"/>
      <c r="B54" s="17"/>
      <c r="C54" s="18"/>
      <c r="D54" s="18" t="s">
        <v>280</v>
      </c>
      <c r="E54" s="39" t="s">
        <v>190</v>
      </c>
      <c r="F54" s="39" t="s">
        <v>190</v>
      </c>
      <c r="G54" s="50"/>
      <c r="H54" s="42" t="s">
        <v>445</v>
      </c>
      <c r="I54" s="50"/>
      <c r="J54" s="50"/>
      <c r="K54" s="50"/>
      <c r="L54" s="40"/>
      <c r="M54" s="40"/>
      <c r="N54" s="40"/>
      <c r="O54" s="40"/>
      <c r="P54" s="40"/>
      <c r="Q54" s="41" t="s">
        <v>469</v>
      </c>
      <c r="R54" s="41"/>
      <c r="S54" s="41"/>
      <c r="T54" s="41"/>
      <c r="U54" s="41"/>
      <c r="V54" s="41"/>
      <c r="W54" s="41" t="s">
        <v>468</v>
      </c>
      <c r="X54" s="41"/>
      <c r="Y54" s="41"/>
      <c r="Z54" s="41"/>
      <c r="AA54" s="41"/>
      <c r="AB54" s="41"/>
      <c r="AC54" s="41" t="s">
        <v>468</v>
      </c>
      <c r="AD54" s="40"/>
      <c r="AE54" s="40"/>
      <c r="AF54" s="40"/>
      <c r="AG54" s="40"/>
      <c r="AH54" s="40"/>
      <c r="AI54" s="41" t="s">
        <v>468</v>
      </c>
      <c r="AJ54" s="40"/>
      <c r="AK54" s="40"/>
      <c r="AL54" s="40"/>
      <c r="AM54" s="40"/>
      <c r="AN54" s="40"/>
      <c r="AO54" s="41" t="s">
        <v>468</v>
      </c>
      <c r="AP54" s="41"/>
      <c r="AQ54" s="17"/>
    </row>
    <row r="55" spans="1:50" s="2" customFormat="1" ht="64.5" customHeight="1">
      <c r="A55" s="1">
        <v>2</v>
      </c>
      <c r="B55" s="1" t="s">
        <v>125</v>
      </c>
      <c r="C55" s="82" t="s">
        <v>281</v>
      </c>
      <c r="D55" s="7" t="s">
        <v>282</v>
      </c>
      <c r="E55" s="45">
        <v>20</v>
      </c>
      <c r="F55" s="45">
        <v>4</v>
      </c>
      <c r="G55" s="3" t="s">
        <v>107</v>
      </c>
      <c r="H55" s="22"/>
      <c r="I55" s="3"/>
      <c r="J55" s="3" t="s">
        <v>195</v>
      </c>
      <c r="K55" s="3"/>
      <c r="L55" s="28">
        <v>25000</v>
      </c>
      <c r="M55" s="28"/>
      <c r="N55" s="28"/>
      <c r="O55" s="28"/>
      <c r="P55" s="28"/>
      <c r="Q55" s="28">
        <f>SUM(L55:P55)</f>
        <v>25000</v>
      </c>
      <c r="R55" s="28">
        <v>25000</v>
      </c>
      <c r="S55" s="28"/>
      <c r="T55" s="28"/>
      <c r="U55" s="28"/>
      <c r="V55" s="28"/>
      <c r="W55" s="28">
        <f>SUM(R55:V55)</f>
        <v>25000</v>
      </c>
      <c r="X55" s="28">
        <v>25000</v>
      </c>
      <c r="Y55" s="28"/>
      <c r="Z55" s="28"/>
      <c r="AA55" s="28"/>
      <c r="AB55" s="28"/>
      <c r="AC55" s="28">
        <f>SUM(X55:AB55)</f>
        <v>25000</v>
      </c>
      <c r="AD55" s="28">
        <v>25000</v>
      </c>
      <c r="AE55" s="28"/>
      <c r="AF55" s="28"/>
      <c r="AG55" s="28"/>
      <c r="AH55" s="28"/>
      <c r="AI55" s="28">
        <f>SUM(AD55:AH55)</f>
        <v>25000</v>
      </c>
      <c r="AJ55" s="28">
        <v>25000</v>
      </c>
      <c r="AK55" s="28"/>
      <c r="AL55" s="28"/>
      <c r="AM55" s="28"/>
      <c r="AN55" s="28"/>
      <c r="AO55" s="28">
        <f>SUM(AJ55:AN55)</f>
        <v>25000</v>
      </c>
      <c r="AP55" s="27">
        <f t="shared" ref="AP55:AP57" si="91">SUM(Q55,W55,AC55,AI55,AO55)</f>
        <v>125000</v>
      </c>
      <c r="AQ55" s="11"/>
    </row>
    <row r="56" spans="1:50" s="2" customFormat="1" ht="38.25">
      <c r="A56" s="1">
        <v>2</v>
      </c>
      <c r="B56" s="1" t="s">
        <v>126</v>
      </c>
      <c r="C56" s="7" t="s">
        <v>283</v>
      </c>
      <c r="D56" s="7" t="s">
        <v>284</v>
      </c>
      <c r="E56" s="44" t="s">
        <v>198</v>
      </c>
      <c r="F56" s="44">
        <v>4</v>
      </c>
      <c r="G56" s="3" t="s">
        <v>107</v>
      </c>
      <c r="H56" s="22"/>
      <c r="I56" s="3"/>
      <c r="J56" s="3" t="s">
        <v>199</v>
      </c>
      <c r="K56" s="3" t="s">
        <v>195</v>
      </c>
      <c r="L56" s="28"/>
      <c r="M56" s="28">
        <f>0.15*50000</f>
        <v>7500</v>
      </c>
      <c r="N56" s="28">
        <f>0.85*50000</f>
        <v>42500</v>
      </c>
      <c r="O56" s="28"/>
      <c r="P56" s="28"/>
      <c r="Q56" s="28">
        <f>SUM(L56:P56)</f>
        <v>50000</v>
      </c>
      <c r="R56" s="28"/>
      <c r="S56" s="28">
        <f>0.15*50000</f>
        <v>7500</v>
      </c>
      <c r="T56" s="28">
        <f>0.85*50000</f>
        <v>42500</v>
      </c>
      <c r="U56" s="28"/>
      <c r="V56" s="28"/>
      <c r="W56" s="28">
        <f>SUM(R56:V56)</f>
        <v>50000</v>
      </c>
      <c r="X56" s="28"/>
      <c r="Y56" s="28"/>
      <c r="Z56" s="28"/>
      <c r="AA56" s="28"/>
      <c r="AB56" s="28"/>
      <c r="AC56" s="28">
        <f>SUM(X56:AB56)</f>
        <v>0</v>
      </c>
      <c r="AD56" s="28"/>
      <c r="AE56" s="28"/>
      <c r="AF56" s="28"/>
      <c r="AG56" s="28"/>
      <c r="AH56" s="28"/>
      <c r="AI56" s="28">
        <f>SUM(AD56:AH56)</f>
        <v>0</v>
      </c>
      <c r="AJ56" s="28"/>
      <c r="AK56" s="28"/>
      <c r="AL56" s="28"/>
      <c r="AM56" s="28"/>
      <c r="AN56" s="28"/>
      <c r="AO56" s="28">
        <f>SUM(AJ56:AN56)</f>
        <v>0</v>
      </c>
      <c r="AP56" s="27">
        <f t="shared" si="91"/>
        <v>100000</v>
      </c>
      <c r="AQ56" s="11"/>
    </row>
    <row r="57" spans="1:50" s="2" customFormat="1" ht="25.5">
      <c r="A57" s="1">
        <v>2</v>
      </c>
      <c r="B57" s="1" t="s">
        <v>145</v>
      </c>
      <c r="C57" s="7" t="s">
        <v>285</v>
      </c>
      <c r="D57" s="7" t="s">
        <v>399</v>
      </c>
      <c r="E57" s="48">
        <v>40</v>
      </c>
      <c r="F57" s="45">
        <v>55</v>
      </c>
      <c r="G57" s="3" t="s">
        <v>144</v>
      </c>
      <c r="H57" s="7"/>
      <c r="I57" s="3"/>
      <c r="J57" s="3"/>
      <c r="K57" s="3"/>
      <c r="L57" s="28"/>
      <c r="M57" s="28"/>
      <c r="N57" s="28"/>
      <c r="O57" s="28"/>
      <c r="P57" s="28"/>
      <c r="Q57" s="28">
        <f t="shared" ref="Q57" si="92">SUM(L57:P57)</f>
        <v>0</v>
      </c>
      <c r="R57" s="28">
        <v>30000</v>
      </c>
      <c r="S57" s="28"/>
      <c r="T57" s="28"/>
      <c r="U57" s="28"/>
      <c r="V57" s="28"/>
      <c r="W57" s="28">
        <f t="shared" ref="W57" si="93">SUM(R57:V57)</f>
        <v>30000</v>
      </c>
      <c r="X57" s="28"/>
      <c r="Y57" s="28"/>
      <c r="Z57" s="28"/>
      <c r="AA57" s="28"/>
      <c r="AB57" s="28"/>
      <c r="AC57" s="28">
        <f t="shared" ref="AC57" si="94">SUM(X57:AB57)</f>
        <v>0</v>
      </c>
      <c r="AD57" s="28"/>
      <c r="AE57" s="28"/>
      <c r="AF57" s="28"/>
      <c r="AG57" s="28"/>
      <c r="AH57" s="28"/>
      <c r="AI57" s="28">
        <f t="shared" ref="AI57" si="95">SUM(AD57:AH57)</f>
        <v>0</v>
      </c>
      <c r="AJ57" s="28"/>
      <c r="AK57" s="28"/>
      <c r="AL57" s="28"/>
      <c r="AM57" s="28"/>
      <c r="AN57" s="28"/>
      <c r="AO57" s="28">
        <f t="shared" ref="AO57" si="96">SUM(AJ57:AN57)</f>
        <v>0</v>
      </c>
      <c r="AP57" s="27">
        <f t="shared" si="91"/>
        <v>30000</v>
      </c>
      <c r="AQ57" s="11"/>
    </row>
    <row r="58" spans="1:50">
      <c r="A58" s="24"/>
      <c r="B58" s="24" t="s">
        <v>286</v>
      </c>
      <c r="C58" s="85" t="s">
        <v>287</v>
      </c>
      <c r="D58" s="57"/>
      <c r="E58" s="58"/>
      <c r="F58" s="58"/>
      <c r="G58" s="59"/>
      <c r="H58" s="57"/>
      <c r="I58" s="59"/>
      <c r="J58" s="59"/>
      <c r="K58" s="59"/>
      <c r="L58" s="29">
        <f t="shared" ref="L58:AO58" si="97">SUBTOTAL(9,L59:L66)</f>
        <v>0</v>
      </c>
      <c r="M58" s="29">
        <f t="shared" si="97"/>
        <v>147164.07</v>
      </c>
      <c r="N58" s="29">
        <f t="shared" si="97"/>
        <v>855748.51500000001</v>
      </c>
      <c r="O58" s="29">
        <f t="shared" si="97"/>
        <v>65456.355000000003</v>
      </c>
      <c r="P58" s="29">
        <f t="shared" si="97"/>
        <v>0</v>
      </c>
      <c r="Q58" s="30">
        <f t="shared" si="97"/>
        <v>1068368.94</v>
      </c>
      <c r="R58" s="29">
        <f t="shared" si="97"/>
        <v>0</v>
      </c>
      <c r="S58" s="29">
        <f t="shared" si="97"/>
        <v>160853.62799999997</v>
      </c>
      <c r="T58" s="29">
        <f t="shared" si="97"/>
        <v>911503.89199999999</v>
      </c>
      <c r="U58" s="29">
        <f t="shared" si="97"/>
        <v>100000</v>
      </c>
      <c r="V58" s="29">
        <f t="shared" si="97"/>
        <v>300000</v>
      </c>
      <c r="W58" s="30">
        <f t="shared" si="97"/>
        <v>1472357.52</v>
      </c>
      <c r="X58" s="29">
        <f t="shared" si="97"/>
        <v>0</v>
      </c>
      <c r="Y58" s="29">
        <f t="shared" si="97"/>
        <v>192216.685</v>
      </c>
      <c r="Z58" s="29">
        <f t="shared" si="97"/>
        <v>1089228.2149999999</v>
      </c>
      <c r="AA58" s="29">
        <f t="shared" si="97"/>
        <v>100000</v>
      </c>
      <c r="AB58" s="29">
        <f t="shared" si="97"/>
        <v>300000</v>
      </c>
      <c r="AC58" s="30">
        <f t="shared" si="97"/>
        <v>1681444.9</v>
      </c>
      <c r="AD58" s="29">
        <f t="shared" si="97"/>
        <v>0</v>
      </c>
      <c r="AE58" s="29">
        <f t="shared" si="97"/>
        <v>193695.15</v>
      </c>
      <c r="AF58" s="29">
        <f t="shared" si="97"/>
        <v>1097605.8500000001</v>
      </c>
      <c r="AG58" s="29">
        <f t="shared" si="97"/>
        <v>100000</v>
      </c>
      <c r="AH58" s="29">
        <f t="shared" si="97"/>
        <v>300000</v>
      </c>
      <c r="AI58" s="30">
        <f t="shared" si="97"/>
        <v>1691301</v>
      </c>
      <c r="AJ58" s="29">
        <f t="shared" si="97"/>
        <v>0</v>
      </c>
      <c r="AK58" s="29">
        <f t="shared" si="97"/>
        <v>215978.10509375003</v>
      </c>
      <c r="AL58" s="29">
        <f t="shared" si="97"/>
        <v>1223876.5955312501</v>
      </c>
      <c r="AM58" s="29">
        <f t="shared" si="97"/>
        <v>125000</v>
      </c>
      <c r="AN58" s="29">
        <f t="shared" si="97"/>
        <v>375000</v>
      </c>
      <c r="AO58" s="30">
        <f t="shared" si="97"/>
        <v>1939854.7006250001</v>
      </c>
      <c r="AP58" s="30">
        <f>SUBTOTAL(9,AP59:AP66)</f>
        <v>7853327.0606249999</v>
      </c>
      <c r="AQ58" s="24"/>
    </row>
    <row r="59" spans="1:50" s="4" customFormat="1" ht="63.75">
      <c r="A59" s="15"/>
      <c r="B59" s="15" t="s">
        <v>288</v>
      </c>
      <c r="C59" s="16" t="s">
        <v>289</v>
      </c>
      <c r="D59" s="16" t="s">
        <v>290</v>
      </c>
      <c r="E59" s="47"/>
      <c r="F59" s="47"/>
      <c r="G59" s="54"/>
      <c r="H59" s="14"/>
      <c r="I59" s="54"/>
      <c r="J59" s="54"/>
      <c r="K59" s="54"/>
      <c r="L59" s="31">
        <f t="shared" ref="L59:AP59" si="98">SUBTOTAL(9,L61:L62)</f>
        <v>0</v>
      </c>
      <c r="M59" s="31">
        <f t="shared" si="98"/>
        <v>123985.07249999999</v>
      </c>
      <c r="N59" s="31">
        <f t="shared" si="98"/>
        <v>724400.86250000005</v>
      </c>
      <c r="O59" s="31">
        <f t="shared" ref="O59" si="99">SUBTOTAL(9,O61:O62)</f>
        <v>65456.355000000003</v>
      </c>
      <c r="P59" s="31">
        <f t="shared" si="98"/>
        <v>0</v>
      </c>
      <c r="Q59" s="32">
        <f t="shared" si="98"/>
        <v>913842.29</v>
      </c>
      <c r="R59" s="31">
        <f t="shared" ref="R59:W59" si="100">SUBTOTAL(9,R61:R62)</f>
        <v>0</v>
      </c>
      <c r="S59" s="31">
        <f t="shared" si="100"/>
        <v>95458.427999999985</v>
      </c>
      <c r="T59" s="31">
        <f t="shared" si="100"/>
        <v>540931.09199999995</v>
      </c>
      <c r="U59" s="31">
        <f t="shared" si="100"/>
        <v>100000</v>
      </c>
      <c r="V59" s="31">
        <f t="shared" si="100"/>
        <v>300000</v>
      </c>
      <c r="W59" s="32">
        <f t="shared" si="100"/>
        <v>1036389.5199999999</v>
      </c>
      <c r="X59" s="31">
        <f t="shared" si="98"/>
        <v>0</v>
      </c>
      <c r="Y59" s="31">
        <f t="shared" si="98"/>
        <v>134321.535</v>
      </c>
      <c r="Z59" s="31">
        <f t="shared" si="98"/>
        <v>761155.36499999999</v>
      </c>
      <c r="AA59" s="31">
        <f t="shared" si="98"/>
        <v>100000</v>
      </c>
      <c r="AB59" s="31">
        <f t="shared" si="98"/>
        <v>300000</v>
      </c>
      <c r="AC59" s="32">
        <f t="shared" si="98"/>
        <v>1295476.8999999999</v>
      </c>
      <c r="AD59" s="31">
        <f t="shared" si="98"/>
        <v>0</v>
      </c>
      <c r="AE59" s="31">
        <f t="shared" si="98"/>
        <v>133300</v>
      </c>
      <c r="AF59" s="31">
        <f t="shared" si="98"/>
        <v>755366</v>
      </c>
      <c r="AG59" s="31">
        <f t="shared" si="98"/>
        <v>100000</v>
      </c>
      <c r="AH59" s="31">
        <f t="shared" si="98"/>
        <v>300000</v>
      </c>
      <c r="AI59" s="32">
        <f t="shared" si="98"/>
        <v>1288666</v>
      </c>
      <c r="AJ59" s="31">
        <f t="shared" si="98"/>
        <v>0</v>
      </c>
      <c r="AK59" s="31">
        <f t="shared" si="98"/>
        <v>155582.95509375003</v>
      </c>
      <c r="AL59" s="31">
        <f t="shared" si="98"/>
        <v>881636.74553125014</v>
      </c>
      <c r="AM59" s="31">
        <f t="shared" si="98"/>
        <v>125000</v>
      </c>
      <c r="AN59" s="31">
        <f t="shared" si="98"/>
        <v>375000</v>
      </c>
      <c r="AO59" s="32">
        <f t="shared" si="98"/>
        <v>1537219.7006250001</v>
      </c>
      <c r="AP59" s="32">
        <f t="shared" si="98"/>
        <v>6071594.4106249996</v>
      </c>
      <c r="AQ59" s="15"/>
    </row>
    <row r="60" spans="1:50" s="4" customFormat="1" ht="51.75" customHeight="1">
      <c r="A60" s="17"/>
      <c r="B60" s="17"/>
      <c r="C60" s="18"/>
      <c r="D60" s="18" t="s">
        <v>291</v>
      </c>
      <c r="E60" s="39" t="s">
        <v>190</v>
      </c>
      <c r="F60" s="39" t="s">
        <v>190</v>
      </c>
      <c r="G60" s="50"/>
      <c r="H60" s="39" t="s">
        <v>396</v>
      </c>
      <c r="I60" s="50"/>
      <c r="J60" s="50"/>
      <c r="K60" s="50"/>
      <c r="L60" s="40"/>
      <c r="M60" s="40"/>
      <c r="N60" s="40"/>
      <c r="O60" s="40"/>
      <c r="P60" s="40"/>
      <c r="Q60" s="41" t="s">
        <v>470</v>
      </c>
      <c r="R60" s="41"/>
      <c r="S60" s="41"/>
      <c r="T60" s="41"/>
      <c r="U60" s="41"/>
      <c r="V60" s="41"/>
      <c r="W60" s="41" t="s">
        <v>470</v>
      </c>
      <c r="X60" s="41"/>
      <c r="Y60" s="41"/>
      <c r="Z60" s="41"/>
      <c r="AA60" s="41"/>
      <c r="AB60" s="41"/>
      <c r="AC60" s="41" t="s">
        <v>470</v>
      </c>
      <c r="AD60" s="40"/>
      <c r="AE60" s="40"/>
      <c r="AF60" s="40"/>
      <c r="AG60" s="40"/>
      <c r="AH60" s="40"/>
      <c r="AI60" s="41" t="s">
        <v>470</v>
      </c>
      <c r="AJ60" s="40"/>
      <c r="AK60" s="40"/>
      <c r="AL60" s="40"/>
      <c r="AM60" s="40"/>
      <c r="AN60" s="40"/>
      <c r="AO60" s="41" t="s">
        <v>477</v>
      </c>
      <c r="AP60" s="41"/>
      <c r="AQ60" s="17"/>
    </row>
    <row r="61" spans="1:50" s="4" customFormat="1" ht="51">
      <c r="A61" s="13">
        <v>3</v>
      </c>
      <c r="B61" s="13" t="s">
        <v>133</v>
      </c>
      <c r="C61" s="8" t="s">
        <v>292</v>
      </c>
      <c r="D61" s="8" t="s">
        <v>290</v>
      </c>
      <c r="E61" s="48" t="s">
        <v>198</v>
      </c>
      <c r="F61" s="49" t="s">
        <v>193</v>
      </c>
      <c r="G61" s="3" t="s">
        <v>128</v>
      </c>
      <c r="H61" s="8"/>
      <c r="I61" s="3"/>
      <c r="J61" s="3" t="s">
        <v>199</v>
      </c>
      <c r="K61" s="3"/>
      <c r="L61" s="34"/>
      <c r="M61" s="34">
        <v>123985.07249999999</v>
      </c>
      <c r="N61" s="34">
        <v>702582.07750000001</v>
      </c>
      <c r="O61" s="34"/>
      <c r="P61" s="34"/>
      <c r="Q61" s="34">
        <f>SUM(L61:P61)</f>
        <v>826567.15</v>
      </c>
      <c r="R61" s="34"/>
      <c r="S61" s="34">
        <v>95458.427999999985</v>
      </c>
      <c r="T61" s="34">
        <v>540931.09199999995</v>
      </c>
      <c r="U61" s="34"/>
      <c r="V61" s="34"/>
      <c r="W61" s="34">
        <f>SUM(R61:V61)</f>
        <v>636389.5199999999</v>
      </c>
      <c r="X61" s="34"/>
      <c r="Y61" s="34">
        <v>134321.535</v>
      </c>
      <c r="Z61" s="34">
        <v>761155.36499999999</v>
      </c>
      <c r="AA61" s="34"/>
      <c r="AB61" s="34"/>
      <c r="AC61" s="34">
        <f>SUM(X61:AB61)</f>
        <v>895476.9</v>
      </c>
      <c r="AD61" s="34"/>
      <c r="AE61" s="34">
        <v>133300</v>
      </c>
      <c r="AF61" s="34">
        <v>755366</v>
      </c>
      <c r="AG61" s="34"/>
      <c r="AH61" s="34"/>
      <c r="AI61" s="34">
        <f>SUM(AD61:AH61)</f>
        <v>888666</v>
      </c>
      <c r="AJ61" s="34"/>
      <c r="AK61" s="34">
        <v>155582.95509375003</v>
      </c>
      <c r="AL61" s="34">
        <v>881636.74553125014</v>
      </c>
      <c r="AM61" s="34"/>
      <c r="AN61" s="34"/>
      <c r="AO61" s="34">
        <f>SUM(AJ61:AN61)</f>
        <v>1037219.7006250002</v>
      </c>
      <c r="AP61" s="27">
        <f t="shared" ref="AP61:AP62" si="101">SUM(Q61,W61,AC61,AI61,AO61)</f>
        <v>4284319.2706249999</v>
      </c>
      <c r="AQ61" s="12"/>
    </row>
    <row r="62" spans="1:50" s="4" customFormat="1" ht="25.5">
      <c r="A62" s="13">
        <v>3</v>
      </c>
      <c r="B62" s="13" t="s">
        <v>134</v>
      </c>
      <c r="C62" s="8" t="s">
        <v>293</v>
      </c>
      <c r="D62" s="8" t="s">
        <v>294</v>
      </c>
      <c r="E62" s="48" t="s">
        <v>198</v>
      </c>
      <c r="F62" s="49" t="s">
        <v>193</v>
      </c>
      <c r="G62" s="3" t="s">
        <v>128</v>
      </c>
      <c r="H62" s="8"/>
      <c r="I62" s="3"/>
      <c r="J62" s="3"/>
      <c r="K62" s="3" t="s">
        <v>128</v>
      </c>
      <c r="L62" s="34"/>
      <c r="M62" s="34"/>
      <c r="N62" s="34">
        <v>21818.785</v>
      </c>
      <c r="O62" s="34">
        <v>65456.355000000003</v>
      </c>
      <c r="P62" s="34"/>
      <c r="Q62" s="34">
        <f>SUM(L62:P62)</f>
        <v>87275.14</v>
      </c>
      <c r="R62" s="34"/>
      <c r="S62" s="34"/>
      <c r="T62" s="34"/>
      <c r="U62" s="34">
        <v>100000</v>
      </c>
      <c r="V62" s="34">
        <v>300000</v>
      </c>
      <c r="W62" s="34">
        <f>SUM(R62:V62)</f>
        <v>400000</v>
      </c>
      <c r="X62" s="34"/>
      <c r="Y62" s="34"/>
      <c r="Z62" s="34"/>
      <c r="AA62" s="34">
        <v>100000</v>
      </c>
      <c r="AB62" s="34">
        <v>300000</v>
      </c>
      <c r="AC62" s="34">
        <f>SUM(X62:AB62)</f>
        <v>400000</v>
      </c>
      <c r="AD62" s="34"/>
      <c r="AE62" s="34"/>
      <c r="AF62" s="34"/>
      <c r="AG62" s="34">
        <v>100000</v>
      </c>
      <c r="AH62" s="34">
        <v>300000</v>
      </c>
      <c r="AI62" s="34">
        <f>SUM(AD62:AH62)</f>
        <v>400000</v>
      </c>
      <c r="AJ62" s="34"/>
      <c r="AK62" s="34"/>
      <c r="AL62" s="34"/>
      <c r="AM62" s="34">
        <v>125000</v>
      </c>
      <c r="AN62" s="34">
        <v>375000</v>
      </c>
      <c r="AO62" s="34">
        <f>SUM(AJ62:AN62)</f>
        <v>500000</v>
      </c>
      <c r="AP62" s="27">
        <f t="shared" si="101"/>
        <v>1787275.1400000001</v>
      </c>
      <c r="AQ62" s="12"/>
    </row>
    <row r="63" spans="1:50" s="4" customFormat="1" ht="153">
      <c r="A63" s="19"/>
      <c r="B63" s="19" t="s">
        <v>295</v>
      </c>
      <c r="C63" s="16" t="s">
        <v>296</v>
      </c>
      <c r="D63" s="16" t="s">
        <v>297</v>
      </c>
      <c r="E63" s="47"/>
      <c r="F63" s="47"/>
      <c r="G63" s="54"/>
      <c r="H63" s="14"/>
      <c r="I63" s="54"/>
      <c r="J63" s="54"/>
      <c r="K63" s="54"/>
      <c r="L63" s="31">
        <f t="shared" ref="L63:AP63" si="102">SUBTOTAL(9,L65:L66)</f>
        <v>0</v>
      </c>
      <c r="M63" s="31">
        <f t="shared" si="102"/>
        <v>23178.997499999998</v>
      </c>
      <c r="N63" s="31">
        <f t="shared" si="102"/>
        <v>131347.6525</v>
      </c>
      <c r="O63" s="31">
        <f t="shared" si="102"/>
        <v>0</v>
      </c>
      <c r="P63" s="31">
        <f t="shared" si="102"/>
        <v>0</v>
      </c>
      <c r="Q63" s="32">
        <f t="shared" si="102"/>
        <v>154526.65</v>
      </c>
      <c r="R63" s="31">
        <f t="shared" si="102"/>
        <v>0</v>
      </c>
      <c r="S63" s="31">
        <f t="shared" si="102"/>
        <v>65395.199999999997</v>
      </c>
      <c r="T63" s="31">
        <f t="shared" si="102"/>
        <v>370572.79999999999</v>
      </c>
      <c r="U63" s="31">
        <f t="shared" si="102"/>
        <v>0</v>
      </c>
      <c r="V63" s="31">
        <f t="shared" si="102"/>
        <v>0</v>
      </c>
      <c r="W63" s="32">
        <f t="shared" si="102"/>
        <v>435968</v>
      </c>
      <c r="X63" s="31">
        <f t="shared" si="102"/>
        <v>0</v>
      </c>
      <c r="Y63" s="31">
        <f t="shared" si="102"/>
        <v>57895.15</v>
      </c>
      <c r="Z63" s="31">
        <f t="shared" si="102"/>
        <v>328072.84999999998</v>
      </c>
      <c r="AA63" s="31">
        <f t="shared" si="102"/>
        <v>0</v>
      </c>
      <c r="AB63" s="31">
        <f t="shared" si="102"/>
        <v>0</v>
      </c>
      <c r="AC63" s="32">
        <f t="shared" si="102"/>
        <v>385968</v>
      </c>
      <c r="AD63" s="31">
        <f t="shared" si="102"/>
        <v>0</v>
      </c>
      <c r="AE63" s="31">
        <f t="shared" si="102"/>
        <v>60395.15</v>
      </c>
      <c r="AF63" s="31">
        <f t="shared" si="102"/>
        <v>342239.85</v>
      </c>
      <c r="AG63" s="31">
        <f t="shared" si="102"/>
        <v>0</v>
      </c>
      <c r="AH63" s="31">
        <f t="shared" si="102"/>
        <v>0</v>
      </c>
      <c r="AI63" s="32">
        <f t="shared" si="102"/>
        <v>402635</v>
      </c>
      <c r="AJ63" s="31">
        <f t="shared" si="102"/>
        <v>0</v>
      </c>
      <c r="AK63" s="31">
        <f t="shared" si="102"/>
        <v>60395.15</v>
      </c>
      <c r="AL63" s="31">
        <f t="shared" si="102"/>
        <v>342239.85</v>
      </c>
      <c r="AM63" s="31">
        <f t="shared" si="102"/>
        <v>0</v>
      </c>
      <c r="AN63" s="31">
        <f t="shared" si="102"/>
        <v>0</v>
      </c>
      <c r="AO63" s="32">
        <f t="shared" si="102"/>
        <v>402635</v>
      </c>
      <c r="AP63" s="32">
        <f t="shared" si="102"/>
        <v>1781732.65</v>
      </c>
      <c r="AQ63" s="15"/>
    </row>
    <row r="64" spans="1:50" s="4" customFormat="1" ht="48" customHeight="1">
      <c r="A64" s="20"/>
      <c r="B64" s="20"/>
      <c r="C64" s="18"/>
      <c r="D64" s="18" t="s">
        <v>298</v>
      </c>
      <c r="E64" s="39" t="s">
        <v>190</v>
      </c>
      <c r="F64" s="39" t="s">
        <v>190</v>
      </c>
      <c r="G64" s="50"/>
      <c r="H64" s="39" t="s">
        <v>397</v>
      </c>
      <c r="I64" s="50"/>
      <c r="J64" s="50"/>
      <c r="K64" s="50"/>
      <c r="L64" s="40"/>
      <c r="M64" s="40"/>
      <c r="N64" s="40"/>
      <c r="O64" s="40"/>
      <c r="P64" s="40"/>
      <c r="Q64" s="41" t="s">
        <v>470</v>
      </c>
      <c r="R64" s="41"/>
      <c r="S64" s="41"/>
      <c r="T64" s="41"/>
      <c r="U64" s="41"/>
      <c r="V64" s="41"/>
      <c r="W64" s="41" t="s">
        <v>470</v>
      </c>
      <c r="X64" s="41"/>
      <c r="Y64" s="41"/>
      <c r="Z64" s="41"/>
      <c r="AA64" s="41"/>
      <c r="AB64" s="41"/>
      <c r="AC64" s="41" t="s">
        <v>470</v>
      </c>
      <c r="AD64" s="40"/>
      <c r="AE64" s="40"/>
      <c r="AF64" s="40"/>
      <c r="AG64" s="40"/>
      <c r="AH64" s="40"/>
      <c r="AI64" s="41" t="s">
        <v>470</v>
      </c>
      <c r="AJ64" s="40"/>
      <c r="AK64" s="40"/>
      <c r="AL64" s="40"/>
      <c r="AM64" s="40"/>
      <c r="AN64" s="40"/>
      <c r="AO64" s="41" t="s">
        <v>299</v>
      </c>
      <c r="AP64" s="41"/>
      <c r="AQ64" s="17"/>
    </row>
    <row r="65" spans="1:45" s="4" customFormat="1">
      <c r="A65" s="13">
        <v>3</v>
      </c>
      <c r="B65" s="13" t="s">
        <v>135</v>
      </c>
      <c r="C65" s="8" t="s">
        <v>300</v>
      </c>
      <c r="D65" s="8" t="s">
        <v>301</v>
      </c>
      <c r="E65" s="48" t="s">
        <v>198</v>
      </c>
      <c r="F65" s="49" t="s">
        <v>193</v>
      </c>
      <c r="G65" s="3" t="s">
        <v>128</v>
      </c>
      <c r="H65" s="8"/>
      <c r="I65" s="3"/>
      <c r="J65" s="3" t="s">
        <v>199</v>
      </c>
      <c r="K65" s="3"/>
      <c r="L65" s="34"/>
      <c r="M65" s="34">
        <v>12153.997499999999</v>
      </c>
      <c r="N65" s="34">
        <v>68872.652499999997</v>
      </c>
      <c r="O65" s="34"/>
      <c r="P65" s="34"/>
      <c r="Q65" s="34">
        <f>SUM(L65:P65)</f>
        <v>81026.649999999994</v>
      </c>
      <c r="R65" s="34"/>
      <c r="S65" s="34">
        <f>46251*0.15</f>
        <v>6937.65</v>
      </c>
      <c r="T65" s="34">
        <f>46251*0.85</f>
        <v>39313.35</v>
      </c>
      <c r="U65" s="34"/>
      <c r="V65" s="34"/>
      <c r="W65" s="34">
        <f>SUM(R65:V65)</f>
        <v>46251</v>
      </c>
      <c r="X65" s="34"/>
      <c r="Y65" s="34">
        <f>46251*0.15</f>
        <v>6937.65</v>
      </c>
      <c r="Z65" s="34">
        <f>46251*0.85</f>
        <v>39313.35</v>
      </c>
      <c r="AA65" s="34"/>
      <c r="AB65" s="34"/>
      <c r="AC65" s="34">
        <f>SUM(X65:AB65)</f>
        <v>46251</v>
      </c>
      <c r="AD65" s="34"/>
      <c r="AE65" s="34">
        <f>46251*0.15</f>
        <v>6937.65</v>
      </c>
      <c r="AF65" s="34">
        <f>46251*0.85</f>
        <v>39313.35</v>
      </c>
      <c r="AG65" s="34"/>
      <c r="AH65" s="34"/>
      <c r="AI65" s="34">
        <f>SUM(AD65:AH65)</f>
        <v>46251</v>
      </c>
      <c r="AJ65" s="34"/>
      <c r="AK65" s="34">
        <f>46251*0.15</f>
        <v>6937.65</v>
      </c>
      <c r="AL65" s="34">
        <f>46251*0.85</f>
        <v>39313.35</v>
      </c>
      <c r="AM65" s="34"/>
      <c r="AN65" s="34"/>
      <c r="AO65" s="34">
        <f>SUM(AJ65:AN65)</f>
        <v>46251</v>
      </c>
      <c r="AP65" s="27">
        <f t="shared" ref="AP65:AP66" si="103">SUM(Q65,W65,AC65,AI65,AO65)</f>
        <v>266030.65000000002</v>
      </c>
      <c r="AQ65" s="12"/>
    </row>
    <row r="66" spans="1:45" s="4" customFormat="1" ht="25.5">
      <c r="A66" s="3">
        <v>3</v>
      </c>
      <c r="B66" s="3" t="s">
        <v>136</v>
      </c>
      <c r="C66" s="8" t="s">
        <v>302</v>
      </c>
      <c r="D66" s="8" t="s">
        <v>303</v>
      </c>
      <c r="E66" s="48" t="s">
        <v>198</v>
      </c>
      <c r="F66" s="49" t="s">
        <v>193</v>
      </c>
      <c r="G66" s="3" t="s">
        <v>128</v>
      </c>
      <c r="H66" s="8"/>
      <c r="I66" s="3"/>
      <c r="J66" s="3" t="s">
        <v>199</v>
      </c>
      <c r="K66" s="3"/>
      <c r="L66" s="34"/>
      <c r="M66" s="34">
        <v>11025</v>
      </c>
      <c r="N66" s="34">
        <v>62475</v>
      </c>
      <c r="O66" s="34"/>
      <c r="P66" s="34"/>
      <c r="Q66" s="34">
        <f>SUM(L66:P66)</f>
        <v>73500</v>
      </c>
      <c r="R66" s="34"/>
      <c r="S66" s="34">
        <f>389717*0.15</f>
        <v>58457.549999999996</v>
      </c>
      <c r="T66" s="34">
        <f>389717*0.85</f>
        <v>331259.45</v>
      </c>
      <c r="U66" s="34"/>
      <c r="V66" s="34"/>
      <c r="W66" s="34">
        <f>SUM(R66:V66)</f>
        <v>389717</v>
      </c>
      <c r="X66" s="34"/>
      <c r="Y66" s="34">
        <v>50957.5</v>
      </c>
      <c r="Z66" s="34">
        <v>288759.5</v>
      </c>
      <c r="AA66" s="34"/>
      <c r="AB66" s="34"/>
      <c r="AC66" s="34">
        <f>SUM(X66:AB66)</f>
        <v>339717</v>
      </c>
      <c r="AD66" s="34"/>
      <c r="AE66" s="34">
        <v>53457.5</v>
      </c>
      <c r="AF66" s="34">
        <v>302926.5</v>
      </c>
      <c r="AG66" s="34"/>
      <c r="AH66" s="34"/>
      <c r="AI66" s="34">
        <f>SUM(AD66:AH66)</f>
        <v>356384</v>
      </c>
      <c r="AJ66" s="34"/>
      <c r="AK66" s="34">
        <v>53457.5</v>
      </c>
      <c r="AL66" s="34">
        <v>302926.5</v>
      </c>
      <c r="AM66" s="34"/>
      <c r="AN66" s="34"/>
      <c r="AO66" s="34">
        <f>SUM(AJ66:AN66)</f>
        <v>356384</v>
      </c>
      <c r="AP66" s="27">
        <f t="shared" si="103"/>
        <v>1515702</v>
      </c>
      <c r="AQ66" s="12"/>
    </row>
    <row r="67" spans="1:45" ht="25.5">
      <c r="A67" s="24"/>
      <c r="B67" s="24" t="s">
        <v>304</v>
      </c>
      <c r="C67" s="85" t="s">
        <v>46</v>
      </c>
      <c r="D67" s="57"/>
      <c r="E67" s="58"/>
      <c r="F67" s="58"/>
      <c r="G67" s="59"/>
      <c r="H67" s="57"/>
      <c r="I67" s="59"/>
      <c r="J67" s="59"/>
      <c r="K67" s="59"/>
      <c r="L67" s="29">
        <f t="shared" ref="L67:AP67" si="104">SUBTOTAL(9,L68:L82)</f>
        <v>0</v>
      </c>
      <c r="M67" s="29">
        <f t="shared" si="104"/>
        <v>0</v>
      </c>
      <c r="N67" s="29">
        <f t="shared" si="104"/>
        <v>0</v>
      </c>
      <c r="O67" s="29">
        <f t="shared" si="104"/>
        <v>0</v>
      </c>
      <c r="P67" s="29">
        <f t="shared" si="104"/>
        <v>0</v>
      </c>
      <c r="Q67" s="30">
        <f t="shared" si="104"/>
        <v>0</v>
      </c>
      <c r="R67" s="29">
        <f t="shared" si="104"/>
        <v>0</v>
      </c>
      <c r="S67" s="29">
        <f t="shared" si="104"/>
        <v>0</v>
      </c>
      <c r="T67" s="29">
        <f t="shared" si="104"/>
        <v>0</v>
      </c>
      <c r="U67" s="29">
        <f t="shared" si="104"/>
        <v>0</v>
      </c>
      <c r="V67" s="29">
        <f t="shared" si="104"/>
        <v>0</v>
      </c>
      <c r="W67" s="30">
        <f t="shared" si="104"/>
        <v>0</v>
      </c>
      <c r="X67" s="29">
        <f t="shared" si="104"/>
        <v>0</v>
      </c>
      <c r="Y67" s="29">
        <f t="shared" si="104"/>
        <v>0</v>
      </c>
      <c r="Z67" s="29">
        <f t="shared" si="104"/>
        <v>0</v>
      </c>
      <c r="AA67" s="29">
        <f t="shared" si="104"/>
        <v>0</v>
      </c>
      <c r="AB67" s="29">
        <f t="shared" si="104"/>
        <v>0</v>
      </c>
      <c r="AC67" s="30">
        <f t="shared" si="104"/>
        <v>0</v>
      </c>
      <c r="AD67" s="29">
        <f t="shared" si="104"/>
        <v>0</v>
      </c>
      <c r="AE67" s="29">
        <f t="shared" si="104"/>
        <v>0</v>
      </c>
      <c r="AF67" s="29">
        <f t="shared" si="104"/>
        <v>0</v>
      </c>
      <c r="AG67" s="29">
        <f t="shared" si="104"/>
        <v>0</v>
      </c>
      <c r="AH67" s="29">
        <f t="shared" si="104"/>
        <v>0</v>
      </c>
      <c r="AI67" s="30">
        <f t="shared" si="104"/>
        <v>0</v>
      </c>
      <c r="AJ67" s="29">
        <f t="shared" si="104"/>
        <v>0</v>
      </c>
      <c r="AK67" s="29">
        <f t="shared" si="104"/>
        <v>0</v>
      </c>
      <c r="AL67" s="29">
        <f t="shared" si="104"/>
        <v>0</v>
      </c>
      <c r="AM67" s="29">
        <f t="shared" si="104"/>
        <v>0</v>
      </c>
      <c r="AN67" s="29">
        <f t="shared" si="104"/>
        <v>0</v>
      </c>
      <c r="AO67" s="30">
        <f t="shared" si="104"/>
        <v>0</v>
      </c>
      <c r="AP67" s="30">
        <f t="shared" si="104"/>
        <v>0</v>
      </c>
      <c r="AQ67" s="24"/>
    </row>
    <row r="68" spans="1:45" s="4" customFormat="1" ht="204">
      <c r="A68" s="15"/>
      <c r="B68" s="15" t="s">
        <v>305</v>
      </c>
      <c r="C68" s="16" t="s">
        <v>306</v>
      </c>
      <c r="D68" s="16" t="s">
        <v>307</v>
      </c>
      <c r="E68" s="53"/>
      <c r="F68" s="53"/>
      <c r="G68" s="54"/>
      <c r="H68" s="89"/>
      <c r="I68" s="54"/>
      <c r="J68" s="54"/>
      <c r="K68" s="54"/>
      <c r="L68" s="31">
        <f t="shared" ref="L68:AP68" si="105">SUBTOTAL(9,L72:L77)</f>
        <v>0</v>
      </c>
      <c r="M68" s="31">
        <f t="shared" si="105"/>
        <v>0</v>
      </c>
      <c r="N68" s="31">
        <f t="shared" si="105"/>
        <v>0</v>
      </c>
      <c r="O68" s="31">
        <f t="shared" ref="O68" si="106">SUBTOTAL(9,O72:O77)</f>
        <v>0</v>
      </c>
      <c r="P68" s="31">
        <f t="shared" si="105"/>
        <v>0</v>
      </c>
      <c r="Q68" s="32">
        <f t="shared" si="105"/>
        <v>0</v>
      </c>
      <c r="R68" s="31">
        <f t="shared" ref="R68:W68" si="107">SUBTOTAL(9,R72:R77)</f>
        <v>0</v>
      </c>
      <c r="S68" s="31">
        <f t="shared" si="107"/>
        <v>0</v>
      </c>
      <c r="T68" s="31">
        <f t="shared" si="107"/>
        <v>0</v>
      </c>
      <c r="U68" s="31">
        <f t="shared" ref="U68" si="108">SUBTOTAL(9,U72:U77)</f>
        <v>0</v>
      </c>
      <c r="V68" s="31">
        <f t="shared" si="107"/>
        <v>0</v>
      </c>
      <c r="W68" s="32">
        <f t="shared" si="107"/>
        <v>0</v>
      </c>
      <c r="X68" s="31">
        <f t="shared" si="105"/>
        <v>0</v>
      </c>
      <c r="Y68" s="31">
        <f t="shared" si="105"/>
        <v>0</v>
      </c>
      <c r="Z68" s="31">
        <f t="shared" si="105"/>
        <v>0</v>
      </c>
      <c r="AA68" s="31">
        <f t="shared" ref="AA68" si="109">SUBTOTAL(9,AA72:AA77)</f>
        <v>0</v>
      </c>
      <c r="AB68" s="31">
        <f t="shared" si="105"/>
        <v>0</v>
      </c>
      <c r="AC68" s="32">
        <f t="shared" si="105"/>
        <v>0</v>
      </c>
      <c r="AD68" s="31">
        <f t="shared" si="105"/>
        <v>0</v>
      </c>
      <c r="AE68" s="31">
        <f t="shared" si="105"/>
        <v>0</v>
      </c>
      <c r="AF68" s="31">
        <f t="shared" si="105"/>
        <v>0</v>
      </c>
      <c r="AG68" s="31">
        <f t="shared" ref="AG68" si="110">SUBTOTAL(9,AG72:AG77)</f>
        <v>0</v>
      </c>
      <c r="AH68" s="31">
        <f t="shared" si="105"/>
        <v>0</v>
      </c>
      <c r="AI68" s="32">
        <f t="shared" si="105"/>
        <v>0</v>
      </c>
      <c r="AJ68" s="31">
        <f t="shared" si="105"/>
        <v>0</v>
      </c>
      <c r="AK68" s="31">
        <f t="shared" si="105"/>
        <v>0</v>
      </c>
      <c r="AL68" s="31">
        <f t="shared" si="105"/>
        <v>0</v>
      </c>
      <c r="AM68" s="31">
        <f t="shared" ref="AM68" si="111">SUBTOTAL(9,AM72:AM77)</f>
        <v>0</v>
      </c>
      <c r="AN68" s="31">
        <f t="shared" si="105"/>
        <v>0</v>
      </c>
      <c r="AO68" s="32">
        <f t="shared" si="105"/>
        <v>0</v>
      </c>
      <c r="AP68" s="32">
        <f t="shared" si="105"/>
        <v>0</v>
      </c>
      <c r="AQ68" s="15" t="s">
        <v>308</v>
      </c>
    </row>
    <row r="69" spans="1:45" s="4" customFormat="1" ht="63.75">
      <c r="A69" s="17"/>
      <c r="B69" s="17"/>
      <c r="C69" s="18"/>
      <c r="D69" s="18" t="s">
        <v>309</v>
      </c>
      <c r="E69" s="39" t="s">
        <v>190</v>
      </c>
      <c r="F69" s="39" t="s">
        <v>190</v>
      </c>
      <c r="G69" s="50"/>
      <c r="H69" s="39" t="s">
        <v>463</v>
      </c>
      <c r="I69" s="50"/>
      <c r="J69" s="50"/>
      <c r="K69" s="50"/>
      <c r="L69" s="40"/>
      <c r="M69" s="40"/>
      <c r="N69" s="40"/>
      <c r="O69" s="40"/>
      <c r="P69" s="40"/>
      <c r="Q69" s="43" t="s">
        <v>466</v>
      </c>
      <c r="R69" s="43"/>
      <c r="S69" s="43"/>
      <c r="T69" s="43"/>
      <c r="U69" s="43"/>
      <c r="V69" s="43"/>
      <c r="W69" s="43" t="s">
        <v>464</v>
      </c>
      <c r="X69" s="43"/>
      <c r="Y69" s="43"/>
      <c r="Z69" s="43"/>
      <c r="AA69" s="43"/>
      <c r="AB69" s="43"/>
      <c r="AC69" s="43" t="s">
        <v>465</v>
      </c>
      <c r="AD69" s="40"/>
      <c r="AE69" s="40"/>
      <c r="AF69" s="40"/>
      <c r="AG69" s="40"/>
      <c r="AH69" s="40"/>
      <c r="AI69" s="43" t="s">
        <v>310</v>
      </c>
      <c r="AJ69" s="40"/>
      <c r="AK69" s="40"/>
      <c r="AL69" s="40"/>
      <c r="AM69" s="40"/>
      <c r="AN69" s="40"/>
      <c r="AO69" s="124" t="s">
        <v>310</v>
      </c>
      <c r="AP69" s="40"/>
      <c r="AQ69" s="17"/>
    </row>
    <row r="70" spans="1:45" s="4" customFormat="1" ht="63.75" customHeight="1">
      <c r="A70" s="17"/>
      <c r="B70" s="17"/>
      <c r="C70" s="18"/>
      <c r="D70" s="18" t="s">
        <v>520</v>
      </c>
      <c r="E70" s="39" t="s">
        <v>190</v>
      </c>
      <c r="F70" s="39" t="s">
        <v>190</v>
      </c>
      <c r="G70" s="50"/>
      <c r="H70" s="39" t="s">
        <v>523</v>
      </c>
      <c r="I70" s="50"/>
      <c r="J70" s="50"/>
      <c r="K70" s="50"/>
      <c r="L70" s="40"/>
      <c r="M70" s="40"/>
      <c r="N70" s="40"/>
      <c r="O70" s="40"/>
      <c r="P70" s="40"/>
      <c r="Q70" s="43" t="s">
        <v>466</v>
      </c>
      <c r="R70" s="43"/>
      <c r="S70" s="43"/>
      <c r="T70" s="43"/>
      <c r="U70" s="43"/>
      <c r="V70" s="43"/>
      <c r="W70" s="43" t="s">
        <v>464</v>
      </c>
      <c r="X70" s="43"/>
      <c r="Y70" s="43"/>
      <c r="Z70" s="43"/>
      <c r="AA70" s="43"/>
      <c r="AB70" s="43"/>
      <c r="AC70" s="43" t="s">
        <v>465</v>
      </c>
      <c r="AD70" s="40"/>
      <c r="AE70" s="40"/>
      <c r="AF70" s="40"/>
      <c r="AG70" s="40"/>
      <c r="AH70" s="40"/>
      <c r="AI70" s="43" t="s">
        <v>310</v>
      </c>
      <c r="AJ70" s="40"/>
      <c r="AK70" s="40"/>
      <c r="AL70" s="40"/>
      <c r="AM70" s="40"/>
      <c r="AN70" s="40"/>
      <c r="AO70" s="124" t="s">
        <v>522</v>
      </c>
      <c r="AP70" s="40"/>
      <c r="AQ70" s="17"/>
      <c r="AS70" s="156"/>
    </row>
    <row r="71" spans="1:45" s="4" customFormat="1" ht="68.25" customHeight="1">
      <c r="A71" s="17"/>
      <c r="B71" s="17"/>
      <c r="C71" s="18"/>
      <c r="D71" s="18" t="s">
        <v>311</v>
      </c>
      <c r="E71" s="39" t="s">
        <v>190</v>
      </c>
      <c r="F71" s="39" t="s">
        <v>190</v>
      </c>
      <c r="G71" s="50"/>
      <c r="H71" s="39" t="s">
        <v>312</v>
      </c>
      <c r="I71" s="50"/>
      <c r="J71" s="50"/>
      <c r="K71" s="50"/>
      <c r="L71" s="40"/>
      <c r="M71" s="40"/>
      <c r="N71" s="40"/>
      <c r="O71" s="40"/>
      <c r="P71" s="40"/>
      <c r="Q71" s="41" t="s">
        <v>454</v>
      </c>
      <c r="R71" s="43"/>
      <c r="S71" s="43"/>
      <c r="T71" s="43"/>
      <c r="U71" s="43"/>
      <c r="V71" s="43"/>
      <c r="W71" s="43" t="s">
        <v>467</v>
      </c>
      <c r="X71" s="43"/>
      <c r="Y71" s="43"/>
      <c r="Z71" s="43"/>
      <c r="AA71" s="43"/>
      <c r="AB71" s="43"/>
      <c r="AC71" s="41" t="s">
        <v>454</v>
      </c>
      <c r="AD71" s="40"/>
      <c r="AE71" s="40"/>
      <c r="AF71" s="40"/>
      <c r="AG71" s="40"/>
      <c r="AH71" s="40"/>
      <c r="AI71" s="41" t="s">
        <v>454</v>
      </c>
      <c r="AJ71" s="40"/>
      <c r="AK71" s="40"/>
      <c r="AL71" s="40"/>
      <c r="AM71" s="40"/>
      <c r="AN71" s="40"/>
      <c r="AO71" s="124" t="s">
        <v>313</v>
      </c>
      <c r="AP71" s="40"/>
      <c r="AQ71" s="17"/>
      <c r="AS71" s="155"/>
    </row>
    <row r="72" spans="1:45" s="5" customFormat="1" ht="63.75">
      <c r="A72" s="13">
        <v>4</v>
      </c>
      <c r="B72" s="13" t="s">
        <v>93</v>
      </c>
      <c r="C72" s="8" t="s">
        <v>314</v>
      </c>
      <c r="D72" s="6" t="s">
        <v>315</v>
      </c>
      <c r="E72" s="51"/>
      <c r="F72" s="51"/>
      <c r="G72" s="3" t="s">
        <v>89</v>
      </c>
      <c r="H72" s="51"/>
      <c r="I72" s="3"/>
      <c r="J72" s="48"/>
      <c r="K72" s="48"/>
      <c r="L72" s="28"/>
      <c r="M72" s="28"/>
      <c r="N72" s="28"/>
      <c r="O72" s="28"/>
      <c r="P72" s="28"/>
      <c r="Q72" s="33">
        <f>SUM(L72:P72)</f>
        <v>0</v>
      </c>
      <c r="R72" s="33"/>
      <c r="S72" s="33"/>
      <c r="T72" s="33"/>
      <c r="U72" s="33"/>
      <c r="V72" s="33"/>
      <c r="W72" s="33">
        <f>SUM(R72:V72)</f>
        <v>0</v>
      </c>
      <c r="X72" s="33"/>
      <c r="Y72" s="33"/>
      <c r="Z72" s="33"/>
      <c r="AA72" s="33"/>
      <c r="AB72" s="33"/>
      <c r="AC72" s="33">
        <f>SUM(X72:AB72)</f>
        <v>0</v>
      </c>
      <c r="AD72" s="28"/>
      <c r="AE72" s="28"/>
      <c r="AF72" s="28"/>
      <c r="AG72" s="28"/>
      <c r="AH72" s="28"/>
      <c r="AI72" s="33">
        <f>SUM(AD72:AH72)</f>
        <v>0</v>
      </c>
      <c r="AJ72" s="28"/>
      <c r="AK72" s="28"/>
      <c r="AL72" s="28"/>
      <c r="AM72" s="28"/>
      <c r="AN72" s="28"/>
      <c r="AO72" s="33">
        <f>SUM(AJ72:AN72)</f>
        <v>0</v>
      </c>
      <c r="AP72" s="27">
        <f t="shared" ref="AP72:AP77" si="112">SUM(Q72,W72,AC72,AI72,AO72)</f>
        <v>0</v>
      </c>
      <c r="AQ72" s="1" t="s">
        <v>316</v>
      </c>
      <c r="AS72" s="155"/>
    </row>
    <row r="73" spans="1:45" ht="76.5">
      <c r="A73" s="62">
        <v>4</v>
      </c>
      <c r="B73" s="62" t="s">
        <v>94</v>
      </c>
      <c r="C73" s="6" t="s">
        <v>317</v>
      </c>
      <c r="D73" s="6" t="s">
        <v>318</v>
      </c>
      <c r="E73" s="44"/>
      <c r="F73" s="44"/>
      <c r="G73" s="3" t="s">
        <v>89</v>
      </c>
      <c r="H73" s="52"/>
      <c r="I73" s="3"/>
      <c r="J73" s="3"/>
      <c r="K73" s="3"/>
      <c r="L73" s="28"/>
      <c r="M73" s="28"/>
      <c r="N73" s="28"/>
      <c r="O73" s="28"/>
      <c r="P73" s="28"/>
      <c r="Q73" s="33">
        <f>SUM(L73:P73)</f>
        <v>0</v>
      </c>
      <c r="R73" s="33"/>
      <c r="S73" s="33"/>
      <c r="T73" s="33"/>
      <c r="U73" s="33"/>
      <c r="V73" s="33"/>
      <c r="W73" s="33">
        <f>SUM(R73:V73)</f>
        <v>0</v>
      </c>
      <c r="X73" s="33"/>
      <c r="Y73" s="33"/>
      <c r="Z73" s="33"/>
      <c r="AA73" s="33"/>
      <c r="AB73" s="33"/>
      <c r="AC73" s="33">
        <f>SUM(X73:AB73)</f>
        <v>0</v>
      </c>
      <c r="AD73" s="28"/>
      <c r="AE73" s="28"/>
      <c r="AF73" s="28"/>
      <c r="AG73" s="28"/>
      <c r="AH73" s="28"/>
      <c r="AI73" s="33">
        <f>SUM(AD73:AH73)</f>
        <v>0</v>
      </c>
      <c r="AJ73" s="28"/>
      <c r="AK73" s="28"/>
      <c r="AL73" s="28"/>
      <c r="AM73" s="28"/>
      <c r="AN73" s="28"/>
      <c r="AO73" s="33">
        <f>SUM(AJ73:AN73)</f>
        <v>0</v>
      </c>
      <c r="AP73" s="27">
        <f t="shared" si="112"/>
        <v>0</v>
      </c>
      <c r="AQ73" s="1" t="s">
        <v>316</v>
      </c>
      <c r="AS73" s="155"/>
    </row>
    <row r="74" spans="1:45" ht="63.75">
      <c r="A74" s="62">
        <v>4</v>
      </c>
      <c r="B74" s="62" t="s">
        <v>95</v>
      </c>
      <c r="C74" s="6" t="s">
        <v>319</v>
      </c>
      <c r="D74" s="6" t="s">
        <v>320</v>
      </c>
      <c r="E74" s="44"/>
      <c r="F74" s="44"/>
      <c r="G74" s="3" t="s">
        <v>89</v>
      </c>
      <c r="H74" s="52"/>
      <c r="I74" s="3"/>
      <c r="J74" s="3"/>
      <c r="K74" s="3"/>
      <c r="L74" s="28"/>
      <c r="M74" s="28"/>
      <c r="N74" s="28"/>
      <c r="O74" s="28"/>
      <c r="P74" s="28"/>
      <c r="Q74" s="33">
        <f t="shared" ref="Q74:Q77" si="113">SUM(L74:P74)</f>
        <v>0</v>
      </c>
      <c r="R74" s="33"/>
      <c r="S74" s="33"/>
      <c r="T74" s="33"/>
      <c r="U74" s="33"/>
      <c r="V74" s="33"/>
      <c r="W74" s="33">
        <f t="shared" ref="W74:W77" si="114">SUM(R74:V74)</f>
        <v>0</v>
      </c>
      <c r="X74" s="33"/>
      <c r="Y74" s="33"/>
      <c r="Z74" s="33"/>
      <c r="AA74" s="33"/>
      <c r="AB74" s="33"/>
      <c r="AC74" s="33">
        <f t="shared" ref="AC74:AC77" si="115">SUM(X74:AB74)</f>
        <v>0</v>
      </c>
      <c r="AD74" s="28"/>
      <c r="AE74" s="28"/>
      <c r="AF74" s="28"/>
      <c r="AG74" s="28"/>
      <c r="AH74" s="28"/>
      <c r="AI74" s="33">
        <f t="shared" ref="AI74:AI77" si="116">SUM(AD74:AH74)</f>
        <v>0</v>
      </c>
      <c r="AJ74" s="28"/>
      <c r="AK74" s="28"/>
      <c r="AL74" s="28"/>
      <c r="AM74" s="28"/>
      <c r="AN74" s="28"/>
      <c r="AO74" s="33">
        <f t="shared" ref="AO74:AO77" si="117">SUM(AJ74:AN74)</f>
        <v>0</v>
      </c>
      <c r="AP74" s="27">
        <f t="shared" si="112"/>
        <v>0</v>
      </c>
      <c r="AQ74" s="1" t="s">
        <v>321</v>
      </c>
      <c r="AS74" s="155"/>
    </row>
    <row r="75" spans="1:45" ht="63.75">
      <c r="A75" s="62">
        <v>4</v>
      </c>
      <c r="B75" s="62" t="s">
        <v>96</v>
      </c>
      <c r="C75" s="6" t="s">
        <v>322</v>
      </c>
      <c r="D75" s="6" t="s">
        <v>323</v>
      </c>
      <c r="E75" s="44"/>
      <c r="F75" s="44"/>
      <c r="G75" s="3" t="s">
        <v>89</v>
      </c>
      <c r="H75" s="52"/>
      <c r="I75" s="3"/>
      <c r="J75" s="3"/>
      <c r="K75" s="3"/>
      <c r="L75" s="28"/>
      <c r="M75" s="28"/>
      <c r="N75" s="28"/>
      <c r="O75" s="28"/>
      <c r="P75" s="28"/>
      <c r="Q75" s="33">
        <f t="shared" si="113"/>
        <v>0</v>
      </c>
      <c r="R75" s="33"/>
      <c r="S75" s="33"/>
      <c r="T75" s="33"/>
      <c r="U75" s="33"/>
      <c r="V75" s="33"/>
      <c r="W75" s="33">
        <f t="shared" si="114"/>
        <v>0</v>
      </c>
      <c r="X75" s="33"/>
      <c r="Y75" s="33"/>
      <c r="Z75" s="33"/>
      <c r="AA75" s="33"/>
      <c r="AB75" s="33"/>
      <c r="AC75" s="33">
        <f t="shared" si="115"/>
        <v>0</v>
      </c>
      <c r="AD75" s="28"/>
      <c r="AE75" s="28"/>
      <c r="AF75" s="28"/>
      <c r="AG75" s="28"/>
      <c r="AH75" s="28"/>
      <c r="AI75" s="33">
        <f t="shared" si="116"/>
        <v>0</v>
      </c>
      <c r="AJ75" s="28"/>
      <c r="AK75" s="28"/>
      <c r="AL75" s="28"/>
      <c r="AM75" s="28"/>
      <c r="AN75" s="28"/>
      <c r="AO75" s="33">
        <f t="shared" si="117"/>
        <v>0</v>
      </c>
      <c r="AP75" s="27">
        <f t="shared" si="112"/>
        <v>0</v>
      </c>
      <c r="AQ75" s="1" t="s">
        <v>316</v>
      </c>
    </row>
    <row r="76" spans="1:45" ht="63.75">
      <c r="A76" s="62">
        <v>4</v>
      </c>
      <c r="B76" s="62" t="s">
        <v>97</v>
      </c>
      <c r="C76" s="6" t="s">
        <v>324</v>
      </c>
      <c r="D76" s="6" t="s">
        <v>325</v>
      </c>
      <c r="E76" s="44"/>
      <c r="F76" s="44"/>
      <c r="G76" s="3" t="s">
        <v>89</v>
      </c>
      <c r="H76" s="52"/>
      <c r="I76" s="3"/>
      <c r="J76" s="3"/>
      <c r="K76" s="3"/>
      <c r="L76" s="28"/>
      <c r="M76" s="28"/>
      <c r="N76" s="28"/>
      <c r="O76" s="28"/>
      <c r="P76" s="28"/>
      <c r="Q76" s="33">
        <f t="shared" si="113"/>
        <v>0</v>
      </c>
      <c r="R76" s="33"/>
      <c r="S76" s="33"/>
      <c r="T76" s="33"/>
      <c r="U76" s="33"/>
      <c r="V76" s="33"/>
      <c r="W76" s="33">
        <f t="shared" si="114"/>
        <v>0</v>
      </c>
      <c r="X76" s="33"/>
      <c r="Y76" s="33"/>
      <c r="Z76" s="33"/>
      <c r="AA76" s="33"/>
      <c r="AB76" s="33"/>
      <c r="AC76" s="33">
        <f t="shared" si="115"/>
        <v>0</v>
      </c>
      <c r="AD76" s="28"/>
      <c r="AE76" s="28"/>
      <c r="AF76" s="28"/>
      <c r="AG76" s="28"/>
      <c r="AH76" s="28"/>
      <c r="AI76" s="33">
        <f t="shared" si="116"/>
        <v>0</v>
      </c>
      <c r="AJ76" s="28"/>
      <c r="AK76" s="28"/>
      <c r="AL76" s="28"/>
      <c r="AM76" s="28"/>
      <c r="AN76" s="28"/>
      <c r="AO76" s="33">
        <f t="shared" si="117"/>
        <v>0</v>
      </c>
      <c r="AP76" s="27">
        <f t="shared" si="112"/>
        <v>0</v>
      </c>
      <c r="AQ76" s="1" t="s">
        <v>316</v>
      </c>
    </row>
    <row r="77" spans="1:45" ht="89.25">
      <c r="A77" s="62">
        <v>4</v>
      </c>
      <c r="B77" s="62" t="s">
        <v>98</v>
      </c>
      <c r="C77" s="6" t="s">
        <v>326</v>
      </c>
      <c r="D77" s="6" t="s">
        <v>327</v>
      </c>
      <c r="E77" s="44"/>
      <c r="F77" s="44"/>
      <c r="G77" s="3" t="s">
        <v>89</v>
      </c>
      <c r="H77" s="52"/>
      <c r="I77" s="3"/>
      <c r="J77" s="3"/>
      <c r="K77" s="3"/>
      <c r="L77" s="28"/>
      <c r="M77" s="28"/>
      <c r="N77" s="28"/>
      <c r="O77" s="28"/>
      <c r="P77" s="28"/>
      <c r="Q77" s="33">
        <f t="shared" si="113"/>
        <v>0</v>
      </c>
      <c r="R77" s="33"/>
      <c r="S77" s="33"/>
      <c r="T77" s="33"/>
      <c r="U77" s="33"/>
      <c r="V77" s="33"/>
      <c r="W77" s="33">
        <f t="shared" si="114"/>
        <v>0</v>
      </c>
      <c r="X77" s="33"/>
      <c r="Y77" s="33"/>
      <c r="Z77" s="33"/>
      <c r="AA77" s="33"/>
      <c r="AB77" s="33"/>
      <c r="AC77" s="33">
        <f t="shared" si="115"/>
        <v>0</v>
      </c>
      <c r="AD77" s="28"/>
      <c r="AE77" s="28"/>
      <c r="AF77" s="28"/>
      <c r="AG77" s="28"/>
      <c r="AH77" s="28"/>
      <c r="AI77" s="33">
        <f t="shared" si="116"/>
        <v>0</v>
      </c>
      <c r="AJ77" s="28"/>
      <c r="AK77" s="28"/>
      <c r="AL77" s="28"/>
      <c r="AM77" s="28"/>
      <c r="AN77" s="28"/>
      <c r="AO77" s="33">
        <f t="shared" si="117"/>
        <v>0</v>
      </c>
      <c r="AP77" s="27">
        <f t="shared" si="112"/>
        <v>0</v>
      </c>
      <c r="AQ77" s="1" t="s">
        <v>328</v>
      </c>
    </row>
    <row r="78" spans="1:45" s="4" customFormat="1" ht="178.5">
      <c r="A78" s="15"/>
      <c r="B78" s="15" t="s">
        <v>329</v>
      </c>
      <c r="C78" s="16" t="s">
        <v>330</v>
      </c>
      <c r="D78" s="16" t="s">
        <v>331</v>
      </c>
      <c r="E78" s="53"/>
      <c r="F78" s="53"/>
      <c r="G78" s="54"/>
      <c r="H78" s="16"/>
      <c r="I78" s="54"/>
      <c r="J78" s="54"/>
      <c r="K78" s="54"/>
      <c r="L78" s="31">
        <f>SUBTOTAL(9,L81:L82)</f>
        <v>0</v>
      </c>
      <c r="M78" s="31">
        <f t="shared" ref="M78:Q78" si="118">SUBTOTAL(9,M81:M82)</f>
        <v>0</v>
      </c>
      <c r="N78" s="31">
        <f t="shared" si="118"/>
        <v>0</v>
      </c>
      <c r="O78" s="31">
        <f t="shared" si="118"/>
        <v>0</v>
      </c>
      <c r="P78" s="31">
        <f t="shared" si="118"/>
        <v>0</v>
      </c>
      <c r="Q78" s="32">
        <f t="shared" si="118"/>
        <v>0</v>
      </c>
      <c r="R78" s="31">
        <f>SUBTOTAL(9,R81:R82)</f>
        <v>0</v>
      </c>
      <c r="S78" s="31">
        <f t="shared" ref="S78:W78" si="119">SUBTOTAL(9,S81:S82)</f>
        <v>0</v>
      </c>
      <c r="T78" s="31">
        <f t="shared" si="119"/>
        <v>0</v>
      </c>
      <c r="U78" s="31">
        <f t="shared" si="119"/>
        <v>0</v>
      </c>
      <c r="V78" s="31">
        <f t="shared" si="119"/>
        <v>0</v>
      </c>
      <c r="W78" s="32">
        <f t="shared" si="119"/>
        <v>0</v>
      </c>
      <c r="X78" s="31">
        <f>SUBTOTAL(9,X81:X82)</f>
        <v>0</v>
      </c>
      <c r="Y78" s="31">
        <f t="shared" ref="Y78:AC78" si="120">SUBTOTAL(9,Y81:Y82)</f>
        <v>0</v>
      </c>
      <c r="Z78" s="31">
        <f t="shared" si="120"/>
        <v>0</v>
      </c>
      <c r="AA78" s="31">
        <f t="shared" si="120"/>
        <v>0</v>
      </c>
      <c r="AB78" s="31">
        <f t="shared" si="120"/>
        <v>0</v>
      </c>
      <c r="AC78" s="32">
        <f t="shared" si="120"/>
        <v>0</v>
      </c>
      <c r="AD78" s="31">
        <f>SUBTOTAL(9,AD81:AD82)</f>
        <v>0</v>
      </c>
      <c r="AE78" s="31">
        <f t="shared" ref="AE78:AI78" si="121">SUBTOTAL(9,AE81:AE82)</f>
        <v>0</v>
      </c>
      <c r="AF78" s="31">
        <f t="shared" si="121"/>
        <v>0</v>
      </c>
      <c r="AG78" s="31">
        <f t="shared" si="121"/>
        <v>0</v>
      </c>
      <c r="AH78" s="31">
        <f t="shared" si="121"/>
        <v>0</v>
      </c>
      <c r="AI78" s="32">
        <f t="shared" si="121"/>
        <v>0</v>
      </c>
      <c r="AJ78" s="31">
        <f>SUBTOTAL(9,AJ81:AJ82)</f>
        <v>0</v>
      </c>
      <c r="AK78" s="31">
        <f t="shared" ref="AK78:AP78" si="122">SUBTOTAL(9,AK81:AK82)</f>
        <v>0</v>
      </c>
      <c r="AL78" s="31">
        <f t="shared" si="122"/>
        <v>0</v>
      </c>
      <c r="AM78" s="31">
        <f t="shared" si="122"/>
        <v>0</v>
      </c>
      <c r="AN78" s="31">
        <f t="shared" si="122"/>
        <v>0</v>
      </c>
      <c r="AO78" s="32">
        <f t="shared" si="122"/>
        <v>0</v>
      </c>
      <c r="AP78" s="32">
        <f t="shared" si="122"/>
        <v>0</v>
      </c>
      <c r="AQ78" s="15" t="s">
        <v>316</v>
      </c>
    </row>
    <row r="79" spans="1:45" s="4" customFormat="1" ht="69.75" customHeight="1">
      <c r="A79" s="17"/>
      <c r="B79" s="17"/>
      <c r="C79" s="18"/>
      <c r="D79" s="18" t="s">
        <v>486</v>
      </c>
      <c r="E79" s="39" t="s">
        <v>190</v>
      </c>
      <c r="F79" s="39" t="s">
        <v>190</v>
      </c>
      <c r="G79" s="50"/>
      <c r="H79" s="55" t="s">
        <v>487</v>
      </c>
      <c r="I79" s="50"/>
      <c r="J79" s="50"/>
      <c r="K79" s="50"/>
      <c r="L79" s="40"/>
      <c r="M79" s="40"/>
      <c r="N79" s="40"/>
      <c r="O79" s="40"/>
      <c r="P79" s="40"/>
      <c r="Q79" s="41" t="s">
        <v>29</v>
      </c>
      <c r="R79" s="43"/>
      <c r="S79" s="43"/>
      <c r="T79" s="43"/>
      <c r="U79" s="43"/>
      <c r="V79" s="43"/>
      <c r="W79" s="41" t="s">
        <v>29</v>
      </c>
      <c r="X79" s="43"/>
      <c r="Y79" s="43"/>
      <c r="Z79" s="43"/>
      <c r="AA79" s="43"/>
      <c r="AB79" s="43"/>
      <c r="AC79" s="41" t="s">
        <v>29</v>
      </c>
      <c r="AD79" s="40"/>
      <c r="AE79" s="40"/>
      <c r="AF79" s="40"/>
      <c r="AG79" s="40"/>
      <c r="AH79" s="40"/>
      <c r="AI79" s="41" t="s">
        <v>29</v>
      </c>
      <c r="AJ79" s="40"/>
      <c r="AK79" s="40"/>
      <c r="AL79" s="40"/>
      <c r="AM79" s="40"/>
      <c r="AN79" s="40"/>
      <c r="AO79" s="41" t="s">
        <v>29</v>
      </c>
      <c r="AP79" s="41"/>
      <c r="AQ79" s="17"/>
    </row>
    <row r="80" spans="1:45" s="4" customFormat="1" ht="69.75" customHeight="1">
      <c r="A80" s="17"/>
      <c r="B80" s="17"/>
      <c r="C80" s="18"/>
      <c r="D80" s="17" t="s">
        <v>488</v>
      </c>
      <c r="E80" s="141" t="s">
        <v>190</v>
      </c>
      <c r="F80" s="39" t="s">
        <v>190</v>
      </c>
      <c r="G80" s="50"/>
      <c r="H80" s="55" t="s">
        <v>489</v>
      </c>
      <c r="I80" s="50"/>
      <c r="J80" s="50"/>
      <c r="K80" s="50"/>
      <c r="L80" s="40"/>
      <c r="M80" s="40"/>
      <c r="N80" s="40"/>
      <c r="O80" s="40"/>
      <c r="P80" s="40"/>
      <c r="Q80" s="41" t="s">
        <v>29</v>
      </c>
      <c r="R80" s="43"/>
      <c r="S80" s="43"/>
      <c r="T80" s="43"/>
      <c r="U80" s="43"/>
      <c r="V80" s="43"/>
      <c r="W80" s="41" t="s">
        <v>29</v>
      </c>
      <c r="X80" s="43"/>
      <c r="Y80" s="43"/>
      <c r="Z80" s="43"/>
      <c r="AA80" s="43"/>
      <c r="AB80" s="43"/>
      <c r="AC80" s="41" t="s">
        <v>29</v>
      </c>
      <c r="AD80" s="40"/>
      <c r="AE80" s="40"/>
      <c r="AF80" s="40"/>
      <c r="AG80" s="40"/>
      <c r="AH80" s="40"/>
      <c r="AI80" s="41" t="s">
        <v>29</v>
      </c>
      <c r="AJ80" s="40"/>
      <c r="AK80" s="40"/>
      <c r="AL80" s="40"/>
      <c r="AM80" s="40"/>
      <c r="AN80" s="40"/>
      <c r="AO80" s="41" t="s">
        <v>29</v>
      </c>
      <c r="AP80" s="41"/>
      <c r="AQ80" s="17"/>
    </row>
    <row r="81" spans="1:43" s="4" customFormat="1" ht="63.75">
      <c r="A81" s="62">
        <v>4</v>
      </c>
      <c r="B81" s="62" t="s">
        <v>99</v>
      </c>
      <c r="C81" s="6" t="s">
        <v>332</v>
      </c>
      <c r="D81" s="6" t="s">
        <v>333</v>
      </c>
      <c r="E81" s="44"/>
      <c r="F81" s="44"/>
      <c r="G81" s="3" t="s">
        <v>89</v>
      </c>
      <c r="H81" s="56"/>
      <c r="I81" s="3"/>
      <c r="J81" s="3"/>
      <c r="K81" s="3"/>
      <c r="L81" s="34"/>
      <c r="M81" s="34"/>
      <c r="N81" s="34"/>
      <c r="O81" s="34"/>
      <c r="P81" s="34"/>
      <c r="Q81" s="33">
        <f>SUM(L81:P81)</f>
        <v>0</v>
      </c>
      <c r="R81" s="33"/>
      <c r="S81" s="33"/>
      <c r="T81" s="33"/>
      <c r="U81" s="33"/>
      <c r="V81" s="33"/>
      <c r="W81" s="33">
        <f>SUM(R81:V81)</f>
        <v>0</v>
      </c>
      <c r="X81" s="33"/>
      <c r="Y81" s="33"/>
      <c r="Z81" s="33"/>
      <c r="AA81" s="33"/>
      <c r="AB81" s="33"/>
      <c r="AC81" s="33">
        <f>SUM(X81:AB81)</f>
        <v>0</v>
      </c>
      <c r="AD81" s="34"/>
      <c r="AE81" s="34"/>
      <c r="AF81" s="34"/>
      <c r="AG81" s="34"/>
      <c r="AH81" s="34"/>
      <c r="AI81" s="33">
        <f>SUM(AD81:AH81)</f>
        <v>0</v>
      </c>
      <c r="AJ81" s="34"/>
      <c r="AK81" s="34"/>
      <c r="AL81" s="34"/>
      <c r="AM81" s="34"/>
      <c r="AN81" s="34"/>
      <c r="AO81" s="33">
        <f>SUM(AJ81:AN81)</f>
        <v>0</v>
      </c>
      <c r="AP81" s="27">
        <f t="shared" ref="AP81:AP82" si="123">SUM(Q81,W81,AC81,AI81,AO81)</f>
        <v>0</v>
      </c>
      <c r="AQ81" s="3" t="s">
        <v>316</v>
      </c>
    </row>
    <row r="82" spans="1:43" s="4" customFormat="1" ht="63.75">
      <c r="A82" s="62">
        <v>4</v>
      </c>
      <c r="B82" s="62" t="s">
        <v>100</v>
      </c>
      <c r="C82" s="6" t="s">
        <v>334</v>
      </c>
      <c r="D82" s="6" t="s">
        <v>335</v>
      </c>
      <c r="E82" s="44"/>
      <c r="F82" s="44"/>
      <c r="G82" s="3" t="s">
        <v>89</v>
      </c>
      <c r="H82" s="56"/>
      <c r="I82" s="3"/>
      <c r="J82" s="3"/>
      <c r="K82" s="3"/>
      <c r="L82" s="34"/>
      <c r="M82" s="34"/>
      <c r="N82" s="34"/>
      <c r="O82" s="34"/>
      <c r="P82" s="34"/>
      <c r="Q82" s="33">
        <f t="shared" ref="Q82" si="124">SUM(L82:P82)</f>
        <v>0</v>
      </c>
      <c r="R82" s="33"/>
      <c r="S82" s="33"/>
      <c r="T82" s="33"/>
      <c r="U82" s="33"/>
      <c r="V82" s="33"/>
      <c r="W82" s="33">
        <f t="shared" ref="W82" si="125">SUM(R82:V82)</f>
        <v>0</v>
      </c>
      <c r="X82" s="33"/>
      <c r="Y82" s="33"/>
      <c r="Z82" s="33"/>
      <c r="AA82" s="33"/>
      <c r="AB82" s="33"/>
      <c r="AC82" s="33">
        <f t="shared" ref="AC82" si="126">SUM(X82:AB82)</f>
        <v>0</v>
      </c>
      <c r="AD82" s="34"/>
      <c r="AE82" s="34"/>
      <c r="AF82" s="34"/>
      <c r="AG82" s="34"/>
      <c r="AH82" s="34"/>
      <c r="AI82" s="33">
        <f t="shared" ref="AI82" si="127">SUM(AD82:AH82)</f>
        <v>0</v>
      </c>
      <c r="AJ82" s="34"/>
      <c r="AK82" s="34"/>
      <c r="AL82" s="34"/>
      <c r="AM82" s="34"/>
      <c r="AN82" s="34"/>
      <c r="AO82" s="33">
        <f t="shared" ref="AO82" si="128">SUM(AJ82:AN82)</f>
        <v>0</v>
      </c>
      <c r="AP82" s="27">
        <f t="shared" si="123"/>
        <v>0</v>
      </c>
      <c r="AQ82" s="3" t="s">
        <v>316</v>
      </c>
    </row>
    <row r="83" spans="1:43" ht="25.5">
      <c r="A83" s="24"/>
      <c r="B83" s="24" t="s">
        <v>336</v>
      </c>
      <c r="C83" s="85" t="s">
        <v>62</v>
      </c>
      <c r="D83" s="57"/>
      <c r="E83" s="58"/>
      <c r="F83" s="58"/>
      <c r="G83" s="59"/>
      <c r="H83" s="57"/>
      <c r="I83" s="59"/>
      <c r="J83" s="59"/>
      <c r="K83" s="59"/>
      <c r="L83" s="29">
        <f t="shared" ref="L83:AP83" si="129">SUBTOTAL(9,L84:L88)</f>
        <v>0</v>
      </c>
      <c r="M83" s="29">
        <f t="shared" si="129"/>
        <v>0</v>
      </c>
      <c r="N83" s="29">
        <f t="shared" si="129"/>
        <v>0</v>
      </c>
      <c r="O83" s="29">
        <f t="shared" ref="O83" si="130">SUBTOTAL(9,O84:O88)</f>
        <v>0</v>
      </c>
      <c r="P83" s="29">
        <f t="shared" si="129"/>
        <v>0</v>
      </c>
      <c r="Q83" s="30">
        <f t="shared" si="129"/>
        <v>0</v>
      </c>
      <c r="R83" s="29">
        <f t="shared" si="129"/>
        <v>0</v>
      </c>
      <c r="S83" s="29">
        <f t="shared" si="129"/>
        <v>0</v>
      </c>
      <c r="T83" s="29">
        <f t="shared" si="129"/>
        <v>0</v>
      </c>
      <c r="U83" s="29">
        <f t="shared" ref="U83" si="131">SUBTOTAL(9,U84:U88)</f>
        <v>0</v>
      </c>
      <c r="V83" s="29">
        <f t="shared" si="129"/>
        <v>0</v>
      </c>
      <c r="W83" s="30">
        <f t="shared" si="129"/>
        <v>0</v>
      </c>
      <c r="X83" s="29">
        <f t="shared" ref="X83:AC83" si="132">SUBTOTAL(9,X84:X88)</f>
        <v>0</v>
      </c>
      <c r="Y83" s="29">
        <f t="shared" si="132"/>
        <v>0</v>
      </c>
      <c r="Z83" s="29">
        <f t="shared" si="132"/>
        <v>0</v>
      </c>
      <c r="AA83" s="29">
        <f t="shared" ref="AA83" si="133">SUBTOTAL(9,AA84:AA88)</f>
        <v>0</v>
      </c>
      <c r="AB83" s="29">
        <f t="shared" si="132"/>
        <v>0</v>
      </c>
      <c r="AC83" s="30">
        <f t="shared" si="132"/>
        <v>0</v>
      </c>
      <c r="AD83" s="29">
        <f t="shared" si="129"/>
        <v>0</v>
      </c>
      <c r="AE83" s="29">
        <f t="shared" si="129"/>
        <v>0</v>
      </c>
      <c r="AF83" s="29">
        <f t="shared" si="129"/>
        <v>0</v>
      </c>
      <c r="AG83" s="29">
        <f t="shared" ref="AG83" si="134">SUBTOTAL(9,AG84:AG88)</f>
        <v>0</v>
      </c>
      <c r="AH83" s="29">
        <f t="shared" si="129"/>
        <v>0</v>
      </c>
      <c r="AI83" s="30">
        <f t="shared" si="129"/>
        <v>0</v>
      </c>
      <c r="AJ83" s="29">
        <f t="shared" si="129"/>
        <v>0</v>
      </c>
      <c r="AK83" s="29">
        <f t="shared" si="129"/>
        <v>0</v>
      </c>
      <c r="AL83" s="29">
        <f t="shared" si="129"/>
        <v>0</v>
      </c>
      <c r="AM83" s="29">
        <f t="shared" ref="AM83" si="135">SUBTOTAL(9,AM84:AM88)</f>
        <v>0</v>
      </c>
      <c r="AN83" s="29">
        <f t="shared" si="129"/>
        <v>0</v>
      </c>
      <c r="AO83" s="30">
        <f t="shared" si="129"/>
        <v>0</v>
      </c>
      <c r="AP83" s="30">
        <f t="shared" si="129"/>
        <v>0</v>
      </c>
      <c r="AQ83" s="24"/>
    </row>
    <row r="84" spans="1:43" s="4" customFormat="1" ht="76.5">
      <c r="A84" s="15"/>
      <c r="B84" s="15" t="s">
        <v>337</v>
      </c>
      <c r="C84" s="16" t="s">
        <v>338</v>
      </c>
      <c r="D84" s="16" t="s">
        <v>339</v>
      </c>
      <c r="E84" s="47"/>
      <c r="F84" s="47"/>
      <c r="G84" s="54"/>
      <c r="H84" s="14"/>
      <c r="I84" s="54"/>
      <c r="J84" s="54"/>
      <c r="K84" s="54"/>
      <c r="L84" s="31">
        <f t="shared" ref="L84:AP84" si="136">SUBTOTAL(9,L86:L88)</f>
        <v>0</v>
      </c>
      <c r="M84" s="31">
        <f t="shared" si="136"/>
        <v>0</v>
      </c>
      <c r="N84" s="31">
        <f t="shared" si="136"/>
        <v>0</v>
      </c>
      <c r="O84" s="31">
        <f t="shared" ref="O84" si="137">SUBTOTAL(9,O86:O88)</f>
        <v>0</v>
      </c>
      <c r="P84" s="31">
        <f t="shared" si="136"/>
        <v>0</v>
      </c>
      <c r="Q84" s="32">
        <f t="shared" si="136"/>
        <v>0</v>
      </c>
      <c r="R84" s="31">
        <f t="shared" si="136"/>
        <v>0</v>
      </c>
      <c r="S84" s="31">
        <f t="shared" si="136"/>
        <v>0</v>
      </c>
      <c r="T84" s="31">
        <f t="shared" si="136"/>
        <v>0</v>
      </c>
      <c r="U84" s="31">
        <f t="shared" ref="U84" si="138">SUBTOTAL(9,U86:U88)</f>
        <v>0</v>
      </c>
      <c r="V84" s="31">
        <f t="shared" si="136"/>
        <v>0</v>
      </c>
      <c r="W84" s="32">
        <f t="shared" si="136"/>
        <v>0</v>
      </c>
      <c r="X84" s="31">
        <f t="shared" ref="X84:AC84" si="139">SUBTOTAL(9,X86:X88)</f>
        <v>0</v>
      </c>
      <c r="Y84" s="31">
        <f t="shared" si="139"/>
        <v>0</v>
      </c>
      <c r="Z84" s="31">
        <f t="shared" si="139"/>
        <v>0</v>
      </c>
      <c r="AA84" s="31">
        <f t="shared" ref="AA84" si="140">SUBTOTAL(9,AA86:AA88)</f>
        <v>0</v>
      </c>
      <c r="AB84" s="31">
        <f t="shared" si="139"/>
        <v>0</v>
      </c>
      <c r="AC84" s="32">
        <f t="shared" si="139"/>
        <v>0</v>
      </c>
      <c r="AD84" s="31">
        <f t="shared" si="136"/>
        <v>0</v>
      </c>
      <c r="AE84" s="31">
        <f t="shared" si="136"/>
        <v>0</v>
      </c>
      <c r="AF84" s="31">
        <f t="shared" si="136"/>
        <v>0</v>
      </c>
      <c r="AG84" s="31">
        <f t="shared" ref="AG84" si="141">SUBTOTAL(9,AG86:AG88)</f>
        <v>0</v>
      </c>
      <c r="AH84" s="31">
        <f t="shared" si="136"/>
        <v>0</v>
      </c>
      <c r="AI84" s="32">
        <f t="shared" si="136"/>
        <v>0</v>
      </c>
      <c r="AJ84" s="31">
        <f t="shared" si="136"/>
        <v>0</v>
      </c>
      <c r="AK84" s="31">
        <f t="shared" si="136"/>
        <v>0</v>
      </c>
      <c r="AL84" s="31">
        <f t="shared" si="136"/>
        <v>0</v>
      </c>
      <c r="AM84" s="31">
        <f t="shared" ref="AM84" si="142">SUBTOTAL(9,AM86:AM88)</f>
        <v>0</v>
      </c>
      <c r="AN84" s="31">
        <f t="shared" si="136"/>
        <v>0</v>
      </c>
      <c r="AO84" s="32">
        <f t="shared" si="136"/>
        <v>0</v>
      </c>
      <c r="AP84" s="32">
        <f t="shared" si="136"/>
        <v>0</v>
      </c>
      <c r="AQ84" s="15" t="s">
        <v>343</v>
      </c>
    </row>
    <row r="85" spans="1:43" s="4" customFormat="1">
      <c r="A85" s="17"/>
      <c r="B85" s="17"/>
      <c r="C85" s="18"/>
      <c r="D85" s="18" t="s">
        <v>340</v>
      </c>
      <c r="E85" s="39" t="s">
        <v>190</v>
      </c>
      <c r="F85" s="39" t="s">
        <v>190</v>
      </c>
      <c r="G85" s="50"/>
      <c r="H85" s="39" t="s">
        <v>455</v>
      </c>
      <c r="I85" s="50"/>
      <c r="J85" s="50"/>
      <c r="K85" s="50"/>
      <c r="L85" s="40"/>
      <c r="M85" s="40"/>
      <c r="N85" s="40"/>
      <c r="O85" s="40"/>
      <c r="P85" s="40"/>
      <c r="Q85" s="41" t="s">
        <v>459</v>
      </c>
      <c r="R85" s="41"/>
      <c r="S85" s="41"/>
      <c r="T85" s="41"/>
      <c r="U85" s="41"/>
      <c r="V85" s="41"/>
      <c r="W85" s="41" t="s">
        <v>460</v>
      </c>
      <c r="X85" s="41"/>
      <c r="Y85" s="41"/>
      <c r="Z85" s="41"/>
      <c r="AA85" s="41"/>
      <c r="AB85" s="41"/>
      <c r="AC85" s="41" t="s">
        <v>461</v>
      </c>
      <c r="AD85" s="40"/>
      <c r="AE85" s="40"/>
      <c r="AF85" s="40"/>
      <c r="AG85" s="40"/>
      <c r="AH85" s="40"/>
      <c r="AI85" s="41" t="s">
        <v>462</v>
      </c>
      <c r="AJ85" s="40"/>
      <c r="AK85" s="40"/>
      <c r="AL85" s="40"/>
      <c r="AM85" s="40"/>
      <c r="AN85" s="40"/>
      <c r="AO85" s="138" t="s">
        <v>458</v>
      </c>
      <c r="AP85" s="41"/>
      <c r="AQ85" s="17"/>
    </row>
    <row r="86" spans="1:43" s="4" customFormat="1" ht="51">
      <c r="A86" s="1">
        <v>5</v>
      </c>
      <c r="B86" s="1" t="s">
        <v>101</v>
      </c>
      <c r="C86" s="7" t="s">
        <v>341</v>
      </c>
      <c r="D86" s="7" t="s">
        <v>342</v>
      </c>
      <c r="E86" s="45"/>
      <c r="F86" s="45"/>
      <c r="G86" s="3" t="s">
        <v>89</v>
      </c>
      <c r="H86" s="22"/>
      <c r="I86" s="3"/>
      <c r="J86" s="3"/>
      <c r="K86" s="3"/>
      <c r="L86" s="28"/>
      <c r="M86" s="28"/>
      <c r="N86" s="28"/>
      <c r="O86" s="28"/>
      <c r="P86" s="28"/>
      <c r="Q86" s="28">
        <f t="shared" ref="Q86:Q88" si="143">SUM(L86:P86)</f>
        <v>0</v>
      </c>
      <c r="R86" s="28"/>
      <c r="S86" s="28"/>
      <c r="T86" s="28"/>
      <c r="U86" s="28"/>
      <c r="V86" s="28"/>
      <c r="W86" s="28">
        <f t="shared" ref="W86:W88" si="144">SUM(R86:V86)</f>
        <v>0</v>
      </c>
      <c r="X86" s="28"/>
      <c r="Y86" s="28"/>
      <c r="Z86" s="28"/>
      <c r="AA86" s="28"/>
      <c r="AB86" s="28"/>
      <c r="AC86" s="28">
        <f t="shared" ref="AC86:AC88" si="145">SUM(X86:AB86)</f>
        <v>0</v>
      </c>
      <c r="AD86" s="28"/>
      <c r="AE86" s="28"/>
      <c r="AF86" s="28"/>
      <c r="AG86" s="28"/>
      <c r="AH86" s="28"/>
      <c r="AI86" s="28">
        <f t="shared" ref="AI86:AI88" si="146">SUM(AD86:AH86)</f>
        <v>0</v>
      </c>
      <c r="AJ86" s="28"/>
      <c r="AK86" s="28"/>
      <c r="AL86" s="28"/>
      <c r="AM86" s="28"/>
      <c r="AN86" s="28"/>
      <c r="AO86" s="28">
        <f t="shared" ref="AO86:AO88" si="147">SUM(AJ86:AN86)</f>
        <v>0</v>
      </c>
      <c r="AP86" s="27">
        <f t="shared" ref="AP86:AP88" si="148">SUM(Q86,W86,AC86,AI86,AO86)</f>
        <v>0</v>
      </c>
      <c r="AQ86" s="1" t="s">
        <v>343</v>
      </c>
    </row>
    <row r="87" spans="1:43" s="4" customFormat="1" ht="51">
      <c r="A87" s="1">
        <v>5</v>
      </c>
      <c r="B87" s="1" t="s">
        <v>102</v>
      </c>
      <c r="C87" s="7" t="s">
        <v>344</v>
      </c>
      <c r="D87" s="7" t="s">
        <v>345</v>
      </c>
      <c r="E87" s="45"/>
      <c r="F87" s="45"/>
      <c r="G87" s="3" t="s">
        <v>89</v>
      </c>
      <c r="H87" s="22"/>
      <c r="I87" s="3"/>
      <c r="J87" s="3"/>
      <c r="K87" s="3"/>
      <c r="L87" s="28"/>
      <c r="M87" s="28"/>
      <c r="N87" s="28"/>
      <c r="O87" s="28"/>
      <c r="P87" s="28"/>
      <c r="Q87" s="28">
        <f t="shared" si="143"/>
        <v>0</v>
      </c>
      <c r="R87" s="28"/>
      <c r="S87" s="28"/>
      <c r="T87" s="28"/>
      <c r="U87" s="28"/>
      <c r="V87" s="28"/>
      <c r="W87" s="28">
        <f t="shared" si="144"/>
        <v>0</v>
      </c>
      <c r="X87" s="28"/>
      <c r="Y87" s="28"/>
      <c r="Z87" s="28"/>
      <c r="AA87" s="28"/>
      <c r="AB87" s="28"/>
      <c r="AC87" s="28">
        <f t="shared" si="145"/>
        <v>0</v>
      </c>
      <c r="AD87" s="28"/>
      <c r="AE87" s="28"/>
      <c r="AF87" s="28"/>
      <c r="AG87" s="28"/>
      <c r="AH87" s="28"/>
      <c r="AI87" s="28">
        <f t="shared" si="146"/>
        <v>0</v>
      </c>
      <c r="AJ87" s="28"/>
      <c r="AK87" s="28"/>
      <c r="AL87" s="28"/>
      <c r="AM87" s="28"/>
      <c r="AN87" s="28"/>
      <c r="AO87" s="28">
        <f t="shared" si="147"/>
        <v>0</v>
      </c>
      <c r="AP87" s="27">
        <f t="shared" si="148"/>
        <v>0</v>
      </c>
      <c r="AQ87" s="1" t="s">
        <v>343</v>
      </c>
    </row>
    <row r="88" spans="1:43" s="4" customFormat="1" ht="89.25">
      <c r="A88" s="1">
        <v>5</v>
      </c>
      <c r="B88" s="1" t="s">
        <v>103</v>
      </c>
      <c r="C88" s="7" t="s">
        <v>346</v>
      </c>
      <c r="D88" s="7" t="s">
        <v>347</v>
      </c>
      <c r="E88" s="45"/>
      <c r="F88" s="45"/>
      <c r="G88" s="3" t="s">
        <v>89</v>
      </c>
      <c r="H88" s="22"/>
      <c r="I88" s="3"/>
      <c r="J88" s="3"/>
      <c r="K88" s="3"/>
      <c r="L88" s="28"/>
      <c r="M88" s="28"/>
      <c r="N88" s="28"/>
      <c r="O88" s="28"/>
      <c r="P88" s="28"/>
      <c r="Q88" s="28">
        <f t="shared" si="143"/>
        <v>0</v>
      </c>
      <c r="R88" s="28"/>
      <c r="S88" s="28"/>
      <c r="T88" s="28"/>
      <c r="U88" s="28"/>
      <c r="V88" s="28"/>
      <c r="W88" s="28">
        <f t="shared" si="144"/>
        <v>0</v>
      </c>
      <c r="X88" s="28"/>
      <c r="Y88" s="28"/>
      <c r="Z88" s="28"/>
      <c r="AA88" s="28"/>
      <c r="AB88" s="28"/>
      <c r="AC88" s="28">
        <f t="shared" si="145"/>
        <v>0</v>
      </c>
      <c r="AD88" s="28"/>
      <c r="AE88" s="28"/>
      <c r="AF88" s="28"/>
      <c r="AG88" s="28"/>
      <c r="AH88" s="28"/>
      <c r="AI88" s="28">
        <f t="shared" si="146"/>
        <v>0</v>
      </c>
      <c r="AJ88" s="28"/>
      <c r="AK88" s="28"/>
      <c r="AL88" s="28"/>
      <c r="AM88" s="28"/>
      <c r="AN88" s="28"/>
      <c r="AO88" s="28">
        <f t="shared" si="147"/>
        <v>0</v>
      </c>
      <c r="AP88" s="27">
        <f t="shared" si="148"/>
        <v>0</v>
      </c>
      <c r="AQ88" s="1" t="s">
        <v>343</v>
      </c>
    </row>
    <row r="89" spans="1:43" ht="38.25">
      <c r="A89" s="24"/>
      <c r="B89" s="24" t="s">
        <v>68</v>
      </c>
      <c r="C89" s="85" t="s">
        <v>69</v>
      </c>
      <c r="D89" s="57"/>
      <c r="E89" s="58"/>
      <c r="F89" s="58"/>
      <c r="G89" s="59"/>
      <c r="H89" s="57"/>
      <c r="I89" s="59"/>
      <c r="J89" s="59"/>
      <c r="K89" s="59"/>
      <c r="L89" s="29">
        <f t="shared" ref="L89:AP89" si="149">SUBTOTAL(9,L90:L100)</f>
        <v>0</v>
      </c>
      <c r="M89" s="29">
        <f t="shared" si="149"/>
        <v>0</v>
      </c>
      <c r="N89" s="29">
        <f t="shared" si="149"/>
        <v>0</v>
      </c>
      <c r="O89" s="29">
        <f t="shared" ref="O89" si="150">SUBTOTAL(9,O90:O100)</f>
        <v>0</v>
      </c>
      <c r="P89" s="29">
        <f t="shared" si="149"/>
        <v>0</v>
      </c>
      <c r="Q89" s="30">
        <f t="shared" si="149"/>
        <v>0</v>
      </c>
      <c r="R89" s="29">
        <f t="shared" si="149"/>
        <v>0</v>
      </c>
      <c r="S89" s="29">
        <f t="shared" si="149"/>
        <v>0</v>
      </c>
      <c r="T89" s="29">
        <f t="shared" si="149"/>
        <v>0</v>
      </c>
      <c r="U89" s="29">
        <f t="shared" ref="U89" si="151">SUBTOTAL(9,U90:U100)</f>
        <v>0</v>
      </c>
      <c r="V89" s="29">
        <f t="shared" si="149"/>
        <v>0</v>
      </c>
      <c r="W89" s="30">
        <f t="shared" si="149"/>
        <v>0</v>
      </c>
      <c r="X89" s="29">
        <f t="shared" ref="X89:AC89" si="152">SUBTOTAL(9,X90:X100)</f>
        <v>0</v>
      </c>
      <c r="Y89" s="29">
        <f t="shared" si="152"/>
        <v>0</v>
      </c>
      <c r="Z89" s="29">
        <f t="shared" si="152"/>
        <v>0</v>
      </c>
      <c r="AA89" s="29">
        <f t="shared" ref="AA89" si="153">SUBTOTAL(9,AA90:AA100)</f>
        <v>0</v>
      </c>
      <c r="AB89" s="29">
        <f t="shared" si="152"/>
        <v>0</v>
      </c>
      <c r="AC89" s="30">
        <f t="shared" si="152"/>
        <v>0</v>
      </c>
      <c r="AD89" s="29">
        <f t="shared" si="149"/>
        <v>0</v>
      </c>
      <c r="AE89" s="29">
        <f t="shared" si="149"/>
        <v>0</v>
      </c>
      <c r="AF89" s="29">
        <f t="shared" si="149"/>
        <v>0</v>
      </c>
      <c r="AG89" s="29">
        <f t="shared" ref="AG89" si="154">SUBTOTAL(9,AG90:AG100)</f>
        <v>0</v>
      </c>
      <c r="AH89" s="29">
        <f t="shared" si="149"/>
        <v>0</v>
      </c>
      <c r="AI89" s="30">
        <f t="shared" si="149"/>
        <v>0</v>
      </c>
      <c r="AJ89" s="29">
        <f t="shared" si="149"/>
        <v>0</v>
      </c>
      <c r="AK89" s="29">
        <f t="shared" si="149"/>
        <v>0</v>
      </c>
      <c r="AL89" s="29">
        <f t="shared" si="149"/>
        <v>0</v>
      </c>
      <c r="AM89" s="29">
        <f t="shared" ref="AM89" si="155">SUBTOTAL(9,AM90:AM100)</f>
        <v>0</v>
      </c>
      <c r="AN89" s="29">
        <f t="shared" si="149"/>
        <v>0</v>
      </c>
      <c r="AO89" s="30">
        <f t="shared" si="149"/>
        <v>0</v>
      </c>
      <c r="AP89" s="30">
        <f t="shared" si="149"/>
        <v>0</v>
      </c>
      <c r="AQ89" s="24"/>
    </row>
    <row r="90" spans="1:43" s="4" customFormat="1" ht="102">
      <c r="A90" s="15"/>
      <c r="B90" s="15" t="s">
        <v>348</v>
      </c>
      <c r="C90" s="16" t="s">
        <v>349</v>
      </c>
      <c r="D90" s="16" t="s">
        <v>350</v>
      </c>
      <c r="E90" s="53"/>
      <c r="F90" s="53"/>
      <c r="G90" s="54"/>
      <c r="H90" s="16"/>
      <c r="I90" s="54"/>
      <c r="J90" s="54"/>
      <c r="K90" s="54"/>
      <c r="L90" s="31">
        <f t="shared" ref="L90:AP90" si="156">SUBTOTAL(9,L92:L94)</f>
        <v>0</v>
      </c>
      <c r="M90" s="31">
        <f t="shared" si="156"/>
        <v>0</v>
      </c>
      <c r="N90" s="31">
        <f t="shared" si="156"/>
        <v>0</v>
      </c>
      <c r="O90" s="31">
        <f t="shared" ref="O90" si="157">SUBTOTAL(9,O92:O94)</f>
        <v>0</v>
      </c>
      <c r="P90" s="31">
        <f t="shared" si="156"/>
        <v>0</v>
      </c>
      <c r="Q90" s="32">
        <f t="shared" si="156"/>
        <v>0</v>
      </c>
      <c r="R90" s="31">
        <f t="shared" si="156"/>
        <v>0</v>
      </c>
      <c r="S90" s="31">
        <f t="shared" si="156"/>
        <v>0</v>
      </c>
      <c r="T90" s="31">
        <f t="shared" si="156"/>
        <v>0</v>
      </c>
      <c r="U90" s="31">
        <f t="shared" ref="U90" si="158">SUBTOTAL(9,U92:U94)</f>
        <v>0</v>
      </c>
      <c r="V90" s="31">
        <f t="shared" si="156"/>
        <v>0</v>
      </c>
      <c r="W90" s="32">
        <f t="shared" si="156"/>
        <v>0</v>
      </c>
      <c r="X90" s="31">
        <f t="shared" ref="X90:AC90" si="159">SUBTOTAL(9,X92:X94)</f>
        <v>0</v>
      </c>
      <c r="Y90" s="31">
        <f t="shared" si="159"/>
        <v>0</v>
      </c>
      <c r="Z90" s="31">
        <f t="shared" si="159"/>
        <v>0</v>
      </c>
      <c r="AA90" s="31">
        <f t="shared" ref="AA90" si="160">SUBTOTAL(9,AA92:AA94)</f>
        <v>0</v>
      </c>
      <c r="AB90" s="31">
        <f t="shared" si="159"/>
        <v>0</v>
      </c>
      <c r="AC90" s="32">
        <f t="shared" si="159"/>
        <v>0</v>
      </c>
      <c r="AD90" s="31">
        <f t="shared" si="156"/>
        <v>0</v>
      </c>
      <c r="AE90" s="31">
        <f t="shared" si="156"/>
        <v>0</v>
      </c>
      <c r="AF90" s="31">
        <f t="shared" si="156"/>
        <v>0</v>
      </c>
      <c r="AG90" s="31">
        <f t="shared" ref="AG90" si="161">SUBTOTAL(9,AG92:AG94)</f>
        <v>0</v>
      </c>
      <c r="AH90" s="31">
        <f t="shared" si="156"/>
        <v>0</v>
      </c>
      <c r="AI90" s="32">
        <f t="shared" si="156"/>
        <v>0</v>
      </c>
      <c r="AJ90" s="31">
        <f t="shared" si="156"/>
        <v>0</v>
      </c>
      <c r="AK90" s="31">
        <f t="shared" si="156"/>
        <v>0</v>
      </c>
      <c r="AL90" s="31">
        <f t="shared" si="156"/>
        <v>0</v>
      </c>
      <c r="AM90" s="31">
        <f t="shared" ref="AM90" si="162">SUBTOTAL(9,AM92:AM94)</f>
        <v>0</v>
      </c>
      <c r="AN90" s="31">
        <f t="shared" si="156"/>
        <v>0</v>
      </c>
      <c r="AO90" s="32">
        <f t="shared" si="156"/>
        <v>0</v>
      </c>
      <c r="AP90" s="32">
        <f t="shared" si="156"/>
        <v>0</v>
      </c>
      <c r="AQ90" s="15" t="s">
        <v>491</v>
      </c>
    </row>
    <row r="91" spans="1:43" s="4" customFormat="1" ht="51">
      <c r="A91" s="17"/>
      <c r="B91" s="17"/>
      <c r="C91" s="18"/>
      <c r="D91" s="18" t="s">
        <v>351</v>
      </c>
      <c r="E91" s="39" t="s">
        <v>190</v>
      </c>
      <c r="F91" s="39" t="s">
        <v>190</v>
      </c>
      <c r="G91" s="50"/>
      <c r="H91" s="39" t="s">
        <v>482</v>
      </c>
      <c r="I91" s="50"/>
      <c r="J91" s="50"/>
      <c r="K91" s="50"/>
      <c r="L91" s="40"/>
      <c r="M91" s="40"/>
      <c r="N91" s="40"/>
      <c r="O91" s="40"/>
      <c r="P91" s="40"/>
      <c r="Q91" s="43" t="s">
        <v>483</v>
      </c>
      <c r="R91" s="43"/>
      <c r="S91" s="43"/>
      <c r="T91" s="43"/>
      <c r="U91" s="43"/>
      <c r="V91" s="43"/>
      <c r="W91" s="43" t="s">
        <v>391</v>
      </c>
      <c r="X91" s="43"/>
      <c r="Y91" s="43"/>
      <c r="Z91" s="43"/>
      <c r="AA91" s="43"/>
      <c r="AB91" s="43"/>
      <c r="AC91" s="43" t="s">
        <v>484</v>
      </c>
      <c r="AD91" s="40"/>
      <c r="AE91" s="40"/>
      <c r="AF91" s="40"/>
      <c r="AG91" s="40"/>
      <c r="AH91" s="40"/>
      <c r="AI91" s="43" t="s">
        <v>485</v>
      </c>
      <c r="AJ91" s="40"/>
      <c r="AK91" s="40"/>
      <c r="AL91" s="40"/>
      <c r="AM91" s="40"/>
      <c r="AN91" s="40"/>
      <c r="AO91" s="124" t="s">
        <v>485</v>
      </c>
      <c r="AP91" s="40"/>
      <c r="AQ91" s="90"/>
    </row>
    <row r="92" spans="1:43" s="4" customFormat="1" ht="63.75">
      <c r="A92" s="3">
        <v>6</v>
      </c>
      <c r="B92" s="3" t="s">
        <v>138</v>
      </c>
      <c r="C92" s="6" t="s">
        <v>352</v>
      </c>
      <c r="D92" s="6" t="s">
        <v>353</v>
      </c>
      <c r="E92" s="44"/>
      <c r="F92" s="44"/>
      <c r="G92" s="3" t="s">
        <v>137</v>
      </c>
      <c r="H92" s="56"/>
      <c r="I92" s="3"/>
      <c r="J92" s="3"/>
      <c r="K92" s="3"/>
      <c r="L92" s="34"/>
      <c r="M92" s="34"/>
      <c r="N92" s="34"/>
      <c r="O92" s="34"/>
      <c r="P92" s="34"/>
      <c r="Q92" s="33">
        <f>SUM(L92:P92)</f>
        <v>0</v>
      </c>
      <c r="R92" s="33"/>
      <c r="S92" s="33"/>
      <c r="T92" s="33"/>
      <c r="U92" s="33"/>
      <c r="V92" s="33"/>
      <c r="W92" s="33">
        <f>SUM(R92:V92)</f>
        <v>0</v>
      </c>
      <c r="X92" s="33"/>
      <c r="Y92" s="33"/>
      <c r="Z92" s="33"/>
      <c r="AA92" s="33"/>
      <c r="AB92" s="33"/>
      <c r="AC92" s="33">
        <f>SUM(X92:AB92)</f>
        <v>0</v>
      </c>
      <c r="AD92" s="34"/>
      <c r="AE92" s="34"/>
      <c r="AF92" s="34"/>
      <c r="AG92" s="34"/>
      <c r="AH92" s="34"/>
      <c r="AI92" s="33">
        <f>SUM(AD92:AH92)</f>
        <v>0</v>
      </c>
      <c r="AJ92" s="34"/>
      <c r="AK92" s="34"/>
      <c r="AL92" s="34"/>
      <c r="AM92" s="34"/>
      <c r="AN92" s="34"/>
      <c r="AO92" s="33">
        <f>SUM(AJ92:AN92)</f>
        <v>0</v>
      </c>
      <c r="AP92" s="27">
        <f t="shared" ref="AP92:AP94" si="163">SUM(Q92,W92,AC92,AI92,AO92)</f>
        <v>0</v>
      </c>
      <c r="AQ92" s="142" t="s">
        <v>491</v>
      </c>
    </row>
    <row r="93" spans="1:43" s="4" customFormat="1" ht="63.75">
      <c r="A93" s="3">
        <v>6</v>
      </c>
      <c r="B93" s="3" t="s">
        <v>139</v>
      </c>
      <c r="C93" s="6" t="s">
        <v>354</v>
      </c>
      <c r="D93" s="6" t="s">
        <v>353</v>
      </c>
      <c r="E93" s="44"/>
      <c r="F93" s="44"/>
      <c r="G93" s="3" t="s">
        <v>137</v>
      </c>
      <c r="H93" s="56"/>
      <c r="I93" s="3"/>
      <c r="J93" s="3"/>
      <c r="K93" s="3"/>
      <c r="L93" s="34"/>
      <c r="M93" s="34"/>
      <c r="N93" s="34"/>
      <c r="O93" s="34"/>
      <c r="P93" s="34"/>
      <c r="Q93" s="33">
        <v>0</v>
      </c>
      <c r="R93" s="33"/>
      <c r="S93" s="33"/>
      <c r="T93" s="33"/>
      <c r="U93" s="33"/>
      <c r="V93" s="33"/>
      <c r="W93" s="33">
        <v>0</v>
      </c>
      <c r="X93" s="33"/>
      <c r="Y93" s="33"/>
      <c r="Z93" s="33"/>
      <c r="AA93" s="33"/>
      <c r="AB93" s="33"/>
      <c r="AC93" s="33">
        <v>0</v>
      </c>
      <c r="AD93" s="34"/>
      <c r="AE93" s="34"/>
      <c r="AF93" s="34"/>
      <c r="AG93" s="34"/>
      <c r="AH93" s="34"/>
      <c r="AI93" s="33">
        <v>0</v>
      </c>
      <c r="AJ93" s="34"/>
      <c r="AK93" s="34"/>
      <c r="AL93" s="34"/>
      <c r="AM93" s="34"/>
      <c r="AN93" s="34"/>
      <c r="AO93" s="33">
        <v>0</v>
      </c>
      <c r="AP93" s="27">
        <f t="shared" si="163"/>
        <v>0</v>
      </c>
      <c r="AQ93" s="142" t="s">
        <v>491</v>
      </c>
    </row>
    <row r="94" spans="1:43" s="4" customFormat="1" ht="63.75">
      <c r="A94" s="3">
        <v>6</v>
      </c>
      <c r="B94" s="3" t="s">
        <v>140</v>
      </c>
      <c r="C94" s="6" t="s">
        <v>400</v>
      </c>
      <c r="D94" s="6" t="s">
        <v>353</v>
      </c>
      <c r="E94" s="44"/>
      <c r="F94" s="44"/>
      <c r="G94" s="3" t="s">
        <v>137</v>
      </c>
      <c r="H94" s="56"/>
      <c r="I94" s="3"/>
      <c r="J94" s="3"/>
      <c r="K94" s="3"/>
      <c r="L94" s="34"/>
      <c r="M94" s="34"/>
      <c r="N94" s="34"/>
      <c r="O94" s="34"/>
      <c r="P94" s="34"/>
      <c r="Q94" s="33">
        <v>0</v>
      </c>
      <c r="R94" s="33"/>
      <c r="S94" s="33"/>
      <c r="T94" s="33"/>
      <c r="U94" s="33"/>
      <c r="V94" s="33"/>
      <c r="W94" s="33">
        <v>0</v>
      </c>
      <c r="X94" s="33"/>
      <c r="Y94" s="33"/>
      <c r="Z94" s="33"/>
      <c r="AA94" s="33"/>
      <c r="AB94" s="33"/>
      <c r="AC94" s="33">
        <v>0</v>
      </c>
      <c r="AD94" s="34"/>
      <c r="AE94" s="34"/>
      <c r="AF94" s="34"/>
      <c r="AG94" s="34"/>
      <c r="AH94" s="34"/>
      <c r="AI94" s="33">
        <v>0</v>
      </c>
      <c r="AJ94" s="34"/>
      <c r="AK94" s="34"/>
      <c r="AL94" s="34"/>
      <c r="AM94" s="34"/>
      <c r="AN94" s="34"/>
      <c r="AO94" s="33">
        <v>0</v>
      </c>
      <c r="AP94" s="27">
        <f t="shared" si="163"/>
        <v>0</v>
      </c>
      <c r="AQ94" s="142" t="s">
        <v>491</v>
      </c>
    </row>
    <row r="95" spans="1:43" s="4" customFormat="1" ht="153">
      <c r="A95" s="3">
        <v>6</v>
      </c>
      <c r="B95" s="65" t="s">
        <v>503</v>
      </c>
      <c r="C95" s="144" t="s">
        <v>494</v>
      </c>
      <c r="D95" s="144" t="s">
        <v>493</v>
      </c>
      <c r="E95" s="44"/>
      <c r="F95" s="44"/>
      <c r="G95" s="3" t="s">
        <v>137</v>
      </c>
      <c r="H95" s="56"/>
      <c r="I95" s="3"/>
      <c r="J95" s="3"/>
      <c r="K95" s="3"/>
      <c r="L95" s="34"/>
      <c r="M95" s="34"/>
      <c r="N95" s="34"/>
      <c r="O95" s="34"/>
      <c r="P95" s="34"/>
      <c r="Q95" s="33">
        <v>0</v>
      </c>
      <c r="R95" s="33"/>
      <c r="S95" s="33"/>
      <c r="T95" s="33"/>
      <c r="U95" s="33"/>
      <c r="V95" s="33"/>
      <c r="W95" s="33">
        <v>0</v>
      </c>
      <c r="X95" s="33"/>
      <c r="Y95" s="33"/>
      <c r="Z95" s="33"/>
      <c r="AA95" s="33"/>
      <c r="AB95" s="33"/>
      <c r="AC95" s="33">
        <v>0</v>
      </c>
      <c r="AD95" s="34"/>
      <c r="AE95" s="34"/>
      <c r="AF95" s="34"/>
      <c r="AG95" s="34"/>
      <c r="AH95" s="34"/>
      <c r="AI95" s="33">
        <v>0</v>
      </c>
      <c r="AJ95" s="34"/>
      <c r="AK95" s="34"/>
      <c r="AL95" s="34"/>
      <c r="AM95" s="34"/>
      <c r="AN95" s="34"/>
      <c r="AO95" s="33">
        <v>0</v>
      </c>
      <c r="AP95" s="27">
        <v>0</v>
      </c>
      <c r="AQ95" s="143" t="s">
        <v>492</v>
      </c>
    </row>
    <row r="96" spans="1:43" s="4" customFormat="1" ht="90.75" customHeight="1">
      <c r="A96" s="15"/>
      <c r="B96" s="15" t="s">
        <v>355</v>
      </c>
      <c r="C96" s="16" t="s">
        <v>356</v>
      </c>
      <c r="D96" s="16" t="s">
        <v>357</v>
      </c>
      <c r="E96" s="53"/>
      <c r="F96" s="53"/>
      <c r="G96" s="54"/>
      <c r="H96" s="16"/>
      <c r="I96" s="54"/>
      <c r="J96" s="54"/>
      <c r="K96" s="54"/>
      <c r="L96" s="31">
        <f t="shared" ref="L96:AP96" si="164">SUBTOTAL(9,L98:L100)</f>
        <v>0</v>
      </c>
      <c r="M96" s="31">
        <f t="shared" si="164"/>
        <v>0</v>
      </c>
      <c r="N96" s="31">
        <f t="shared" si="164"/>
        <v>0</v>
      </c>
      <c r="O96" s="31">
        <f t="shared" si="164"/>
        <v>0</v>
      </c>
      <c r="P96" s="31">
        <f t="shared" si="164"/>
        <v>0</v>
      </c>
      <c r="Q96" s="32">
        <f t="shared" si="164"/>
        <v>0</v>
      </c>
      <c r="R96" s="31">
        <f t="shared" ref="R96:W96" si="165">SUBTOTAL(9,R98:R100)</f>
        <v>0</v>
      </c>
      <c r="S96" s="31">
        <f t="shared" si="165"/>
        <v>0</v>
      </c>
      <c r="T96" s="31">
        <f t="shared" si="165"/>
        <v>0</v>
      </c>
      <c r="U96" s="31">
        <f t="shared" si="165"/>
        <v>0</v>
      </c>
      <c r="V96" s="31">
        <f t="shared" si="165"/>
        <v>0</v>
      </c>
      <c r="W96" s="32">
        <f t="shared" si="165"/>
        <v>0</v>
      </c>
      <c r="X96" s="31">
        <f t="shared" si="164"/>
        <v>0</v>
      </c>
      <c r="Y96" s="31">
        <f t="shared" si="164"/>
        <v>0</v>
      </c>
      <c r="Z96" s="31">
        <f t="shared" si="164"/>
        <v>0</v>
      </c>
      <c r="AA96" s="31">
        <f t="shared" si="164"/>
        <v>0</v>
      </c>
      <c r="AB96" s="31">
        <f t="shared" si="164"/>
        <v>0</v>
      </c>
      <c r="AC96" s="32">
        <f t="shared" si="164"/>
        <v>0</v>
      </c>
      <c r="AD96" s="31">
        <f t="shared" si="164"/>
        <v>0</v>
      </c>
      <c r="AE96" s="31">
        <f t="shared" si="164"/>
        <v>0</v>
      </c>
      <c r="AF96" s="31">
        <f t="shared" si="164"/>
        <v>0</v>
      </c>
      <c r="AG96" s="31">
        <f t="shared" si="164"/>
        <v>0</v>
      </c>
      <c r="AH96" s="31">
        <f t="shared" si="164"/>
        <v>0</v>
      </c>
      <c r="AI96" s="32">
        <f t="shared" si="164"/>
        <v>0</v>
      </c>
      <c r="AJ96" s="31">
        <f t="shared" si="164"/>
        <v>0</v>
      </c>
      <c r="AK96" s="31">
        <f t="shared" si="164"/>
        <v>0</v>
      </c>
      <c r="AL96" s="31">
        <f t="shared" si="164"/>
        <v>0</v>
      </c>
      <c r="AM96" s="31">
        <f t="shared" si="164"/>
        <v>0</v>
      </c>
      <c r="AN96" s="31">
        <f t="shared" si="164"/>
        <v>0</v>
      </c>
      <c r="AO96" s="32">
        <f t="shared" si="164"/>
        <v>0</v>
      </c>
      <c r="AP96" s="32">
        <f t="shared" si="164"/>
        <v>0</v>
      </c>
      <c r="AQ96" s="15" t="s">
        <v>490</v>
      </c>
    </row>
    <row r="97" spans="1:43" s="4" customFormat="1" ht="38.25">
      <c r="A97" s="17"/>
      <c r="B97" s="17"/>
      <c r="C97" s="18"/>
      <c r="D97" s="18" t="s">
        <v>475</v>
      </c>
      <c r="E97" s="39" t="s">
        <v>190</v>
      </c>
      <c r="F97" s="39" t="s">
        <v>190</v>
      </c>
      <c r="G97" s="50"/>
      <c r="H97" s="39" t="s">
        <v>456</v>
      </c>
      <c r="I97" s="50"/>
      <c r="J97" s="50"/>
      <c r="K97" s="50"/>
      <c r="L97" s="40"/>
      <c r="M97" s="40"/>
      <c r="N97" s="40"/>
      <c r="O97" s="40"/>
      <c r="P97" s="40"/>
      <c r="Q97" s="43" t="s">
        <v>457</v>
      </c>
      <c r="R97" s="43"/>
      <c r="S97" s="43"/>
      <c r="T97" s="43"/>
      <c r="U97" s="43"/>
      <c r="V97" s="43"/>
      <c r="W97" s="43" t="s">
        <v>457</v>
      </c>
      <c r="X97" s="43"/>
      <c r="Y97" s="43"/>
      <c r="Z97" s="43"/>
      <c r="AA97" s="43"/>
      <c r="AB97" s="43"/>
      <c r="AC97" s="43" t="s">
        <v>457</v>
      </c>
      <c r="AD97" s="40"/>
      <c r="AE97" s="40"/>
      <c r="AF97" s="40"/>
      <c r="AG97" s="40"/>
      <c r="AH97" s="40"/>
      <c r="AI97" s="43" t="s">
        <v>358</v>
      </c>
      <c r="AJ97" s="40"/>
      <c r="AK97" s="40"/>
      <c r="AL97" s="40"/>
      <c r="AM97" s="40"/>
      <c r="AN97" s="40"/>
      <c r="AO97" s="124" t="s">
        <v>358</v>
      </c>
      <c r="AP97" s="40"/>
      <c r="AQ97" s="17"/>
    </row>
    <row r="98" spans="1:43" s="4" customFormat="1" ht="63.75">
      <c r="A98" s="3">
        <v>6</v>
      </c>
      <c r="B98" s="3" t="s">
        <v>104</v>
      </c>
      <c r="C98" s="6" t="s">
        <v>359</v>
      </c>
      <c r="D98" s="6" t="s">
        <v>360</v>
      </c>
      <c r="E98" s="44"/>
      <c r="F98" s="44"/>
      <c r="G98" s="3" t="s">
        <v>89</v>
      </c>
      <c r="H98" s="56"/>
      <c r="I98" s="3"/>
      <c r="J98" s="3"/>
      <c r="K98" s="3"/>
      <c r="L98" s="34"/>
      <c r="M98" s="34"/>
      <c r="N98" s="34"/>
      <c r="O98" s="34"/>
      <c r="P98" s="34"/>
      <c r="Q98" s="33">
        <f>SUM(L98:P98)</f>
        <v>0</v>
      </c>
      <c r="R98" s="33"/>
      <c r="S98" s="33"/>
      <c r="T98" s="33"/>
      <c r="U98" s="33"/>
      <c r="V98" s="33"/>
      <c r="W98" s="33">
        <f>SUM(R98:V98)</f>
        <v>0</v>
      </c>
      <c r="X98" s="33"/>
      <c r="Y98" s="33"/>
      <c r="Z98" s="33"/>
      <c r="AA98" s="33"/>
      <c r="AB98" s="33"/>
      <c r="AC98" s="33">
        <f>SUM(X98:AB98)</f>
        <v>0</v>
      </c>
      <c r="AD98" s="34"/>
      <c r="AE98" s="34"/>
      <c r="AF98" s="34"/>
      <c r="AG98" s="34"/>
      <c r="AH98" s="34"/>
      <c r="AI98" s="33">
        <f>SUM(AD98:AH98)</f>
        <v>0</v>
      </c>
      <c r="AJ98" s="34"/>
      <c r="AK98" s="34"/>
      <c r="AL98" s="34"/>
      <c r="AM98" s="34"/>
      <c r="AN98" s="34"/>
      <c r="AO98" s="33">
        <f>SUM(AJ98:AN98)</f>
        <v>0</v>
      </c>
      <c r="AP98" s="27">
        <f t="shared" ref="AP98:AP104" si="166">SUM(Q98,W98,AC98,AI98,AO98)</f>
        <v>0</v>
      </c>
      <c r="AQ98" s="1" t="s">
        <v>499</v>
      </c>
    </row>
    <row r="99" spans="1:43" s="4" customFormat="1" ht="51">
      <c r="A99" s="3">
        <v>6</v>
      </c>
      <c r="B99" s="3" t="s">
        <v>105</v>
      </c>
      <c r="C99" s="6" t="s">
        <v>361</v>
      </c>
      <c r="D99" s="6" t="s">
        <v>362</v>
      </c>
      <c r="E99" s="44"/>
      <c r="F99" s="44"/>
      <c r="G99" s="3" t="s">
        <v>89</v>
      </c>
      <c r="H99" s="56"/>
      <c r="I99" s="3"/>
      <c r="J99" s="3"/>
      <c r="K99" s="3"/>
      <c r="L99" s="34"/>
      <c r="M99" s="34"/>
      <c r="N99" s="34"/>
      <c r="O99" s="34"/>
      <c r="P99" s="34"/>
      <c r="Q99" s="33">
        <f t="shared" ref="Q99:Q100" si="167">SUM(L99:P99)</f>
        <v>0</v>
      </c>
      <c r="R99" s="33"/>
      <c r="S99" s="33"/>
      <c r="T99" s="33"/>
      <c r="U99" s="33"/>
      <c r="V99" s="33"/>
      <c r="W99" s="33">
        <f t="shared" ref="W99:W100" si="168">SUM(R99:V99)</f>
        <v>0</v>
      </c>
      <c r="X99" s="33"/>
      <c r="Y99" s="33"/>
      <c r="Z99" s="33"/>
      <c r="AA99" s="33"/>
      <c r="AB99" s="33"/>
      <c r="AC99" s="33">
        <f t="shared" ref="AC99:AC100" si="169">SUM(X99:AB99)</f>
        <v>0</v>
      </c>
      <c r="AD99" s="34"/>
      <c r="AE99" s="34"/>
      <c r="AF99" s="34"/>
      <c r="AG99" s="34"/>
      <c r="AH99" s="34"/>
      <c r="AI99" s="33">
        <f t="shared" ref="AI99:AI100" si="170">SUM(AD99:AH99)</f>
        <v>0</v>
      </c>
      <c r="AJ99" s="34"/>
      <c r="AK99" s="34"/>
      <c r="AL99" s="34"/>
      <c r="AM99" s="34"/>
      <c r="AN99" s="34"/>
      <c r="AO99" s="33">
        <f t="shared" ref="AO99:AO100" si="171">SUM(AJ99:AN99)</f>
        <v>0</v>
      </c>
      <c r="AP99" s="27">
        <f t="shared" si="166"/>
        <v>0</v>
      </c>
      <c r="AQ99" s="1" t="s">
        <v>500</v>
      </c>
    </row>
    <row r="100" spans="1:43" ht="89.25">
      <c r="A100" s="3">
        <v>6</v>
      </c>
      <c r="B100" s="3" t="s">
        <v>106</v>
      </c>
      <c r="C100" s="6" t="s">
        <v>363</v>
      </c>
      <c r="D100" s="6" t="s">
        <v>364</v>
      </c>
      <c r="E100" s="44"/>
      <c r="F100" s="44"/>
      <c r="G100" s="3" t="s">
        <v>89</v>
      </c>
      <c r="H100" s="56"/>
      <c r="I100" s="3"/>
      <c r="J100" s="3"/>
      <c r="K100" s="3"/>
      <c r="L100" s="34"/>
      <c r="M100" s="34"/>
      <c r="N100" s="34"/>
      <c r="O100" s="34"/>
      <c r="P100" s="34"/>
      <c r="Q100" s="33">
        <f t="shared" si="167"/>
        <v>0</v>
      </c>
      <c r="R100" s="33"/>
      <c r="S100" s="33"/>
      <c r="T100" s="33"/>
      <c r="U100" s="33"/>
      <c r="V100" s="33"/>
      <c r="W100" s="33">
        <f t="shared" si="168"/>
        <v>0</v>
      </c>
      <c r="X100" s="33"/>
      <c r="Y100" s="33"/>
      <c r="Z100" s="33"/>
      <c r="AA100" s="33"/>
      <c r="AB100" s="33"/>
      <c r="AC100" s="33">
        <f t="shared" si="169"/>
        <v>0</v>
      </c>
      <c r="AD100" s="34"/>
      <c r="AE100" s="34"/>
      <c r="AF100" s="34"/>
      <c r="AG100" s="34"/>
      <c r="AH100" s="34"/>
      <c r="AI100" s="33">
        <f t="shared" si="170"/>
        <v>0</v>
      </c>
      <c r="AJ100" s="34"/>
      <c r="AK100" s="34"/>
      <c r="AL100" s="34"/>
      <c r="AM100" s="34"/>
      <c r="AN100" s="34"/>
      <c r="AO100" s="33">
        <f t="shared" si="171"/>
        <v>0</v>
      </c>
      <c r="AP100" s="27">
        <f t="shared" si="166"/>
        <v>0</v>
      </c>
      <c r="AQ100" s="1" t="s">
        <v>490</v>
      </c>
    </row>
    <row r="101" spans="1:43">
      <c r="A101" s="15"/>
      <c r="B101" s="15"/>
      <c r="C101" s="16" t="s">
        <v>365</v>
      </c>
      <c r="D101" s="14"/>
      <c r="E101" s="47"/>
      <c r="F101" s="47"/>
      <c r="G101" s="14"/>
      <c r="H101" s="14"/>
      <c r="I101" s="14"/>
      <c r="J101" s="14"/>
      <c r="K101" s="14"/>
      <c r="L101" s="31">
        <f t="shared" ref="L101:AP101" si="172">SUBTOTAL(9,L102:L104)</f>
        <v>615000</v>
      </c>
      <c r="M101" s="31">
        <f t="shared" si="172"/>
        <v>28513.649999999998</v>
      </c>
      <c r="N101" s="31">
        <f t="shared" si="172"/>
        <v>161577.35</v>
      </c>
      <c r="O101" s="31">
        <f t="shared" si="172"/>
        <v>0</v>
      </c>
      <c r="P101" s="31">
        <f t="shared" si="172"/>
        <v>0</v>
      </c>
      <c r="Q101" s="32">
        <f t="shared" si="172"/>
        <v>805091</v>
      </c>
      <c r="R101" s="31">
        <f t="shared" si="172"/>
        <v>690000</v>
      </c>
      <c r="S101" s="31">
        <f t="shared" si="172"/>
        <v>28201.95</v>
      </c>
      <c r="T101" s="31">
        <f t="shared" si="172"/>
        <v>159811.04999999999</v>
      </c>
      <c r="U101" s="31">
        <f t="shared" si="172"/>
        <v>0</v>
      </c>
      <c r="V101" s="31">
        <f t="shared" si="172"/>
        <v>0</v>
      </c>
      <c r="W101" s="32">
        <f t="shared" si="172"/>
        <v>878013</v>
      </c>
      <c r="X101" s="31">
        <f t="shared" si="172"/>
        <v>600000</v>
      </c>
      <c r="Y101" s="31">
        <f t="shared" si="172"/>
        <v>24850.95</v>
      </c>
      <c r="Z101" s="31">
        <f t="shared" si="172"/>
        <v>140822.04999999999</v>
      </c>
      <c r="AA101" s="31">
        <f t="shared" si="172"/>
        <v>0</v>
      </c>
      <c r="AB101" s="31">
        <f t="shared" si="172"/>
        <v>0</v>
      </c>
      <c r="AC101" s="32">
        <f t="shared" si="172"/>
        <v>765673</v>
      </c>
      <c r="AD101" s="31">
        <f t="shared" si="172"/>
        <v>600000</v>
      </c>
      <c r="AE101" s="31">
        <f t="shared" si="172"/>
        <v>24847.35</v>
      </c>
      <c r="AF101" s="31">
        <f t="shared" si="172"/>
        <v>140801.65</v>
      </c>
      <c r="AG101" s="31">
        <f t="shared" si="172"/>
        <v>0</v>
      </c>
      <c r="AH101" s="31">
        <f t="shared" si="172"/>
        <v>0</v>
      </c>
      <c r="AI101" s="32">
        <f t="shared" si="172"/>
        <v>765649</v>
      </c>
      <c r="AJ101" s="31">
        <f t="shared" si="172"/>
        <v>685000</v>
      </c>
      <c r="AK101" s="31">
        <f t="shared" si="172"/>
        <v>24732.45</v>
      </c>
      <c r="AL101" s="31">
        <f t="shared" si="172"/>
        <v>140150.54999999999</v>
      </c>
      <c r="AM101" s="31">
        <f t="shared" si="172"/>
        <v>0</v>
      </c>
      <c r="AN101" s="31">
        <f t="shared" si="172"/>
        <v>0</v>
      </c>
      <c r="AO101" s="32">
        <f t="shared" si="172"/>
        <v>849883</v>
      </c>
      <c r="AP101" s="32">
        <f t="shared" si="172"/>
        <v>4064309</v>
      </c>
      <c r="AQ101" s="15"/>
    </row>
    <row r="102" spans="1:43" s="139" customFormat="1" ht="25.5">
      <c r="A102" s="62">
        <v>7</v>
      </c>
      <c r="B102" s="62" t="s">
        <v>127</v>
      </c>
      <c r="C102" s="6" t="s">
        <v>366</v>
      </c>
      <c r="D102" s="6" t="s">
        <v>394</v>
      </c>
      <c r="E102" s="44">
        <v>20</v>
      </c>
      <c r="F102" s="44">
        <v>5</v>
      </c>
      <c r="G102" s="3" t="s">
        <v>107</v>
      </c>
      <c r="H102" s="6"/>
      <c r="I102" s="3"/>
      <c r="J102" s="3"/>
      <c r="K102" s="3" t="s">
        <v>107</v>
      </c>
      <c r="L102" s="125">
        <f>5000+20000</f>
        <v>25000</v>
      </c>
      <c r="M102" s="27"/>
      <c r="N102" s="27"/>
      <c r="O102" s="27"/>
      <c r="P102" s="27"/>
      <c r="Q102" s="27">
        <f t="shared" ref="Q102:Q104" si="173">SUM(L102:P102)</f>
        <v>25000</v>
      </c>
      <c r="R102" s="27">
        <f>80000+5000+15000</f>
        <v>100000</v>
      </c>
      <c r="S102" s="27"/>
      <c r="T102" s="27"/>
      <c r="U102" s="27"/>
      <c r="V102" s="27"/>
      <c r="W102" s="27">
        <f t="shared" ref="W102" si="174">SUM(R102:V102)</f>
        <v>100000</v>
      </c>
      <c r="X102" s="27">
        <f>5000+5000</f>
        <v>10000</v>
      </c>
      <c r="Y102" s="27"/>
      <c r="Z102" s="27"/>
      <c r="AA102" s="27"/>
      <c r="AB102" s="27"/>
      <c r="AC102" s="27">
        <f t="shared" ref="AC102:AC104" si="175">SUM(X102:AB102)</f>
        <v>10000</v>
      </c>
      <c r="AD102" s="27">
        <f>5000+5000</f>
        <v>10000</v>
      </c>
      <c r="AE102" s="27"/>
      <c r="AF102" s="27"/>
      <c r="AG102" s="27"/>
      <c r="AH102" s="27"/>
      <c r="AI102" s="27">
        <f t="shared" ref="AI102:AI104" si="176">SUM(AD102:AH102)</f>
        <v>10000</v>
      </c>
      <c r="AJ102" s="27">
        <f>80000+5000+10000</f>
        <v>95000</v>
      </c>
      <c r="AK102" s="27"/>
      <c r="AL102" s="27"/>
      <c r="AM102" s="27"/>
      <c r="AN102" s="27"/>
      <c r="AO102" s="27">
        <f t="shared" ref="AO102" si="177">SUM(AJ102:AN102)</f>
        <v>95000</v>
      </c>
      <c r="AP102" s="27">
        <f t="shared" si="166"/>
        <v>240000</v>
      </c>
      <c r="AQ102" s="87"/>
    </row>
    <row r="103" spans="1:43" s="2" customFormat="1" ht="76.5">
      <c r="A103" s="1">
        <v>7</v>
      </c>
      <c r="B103" s="1" t="s">
        <v>501</v>
      </c>
      <c r="C103" s="7" t="s">
        <v>367</v>
      </c>
      <c r="D103" s="7" t="s">
        <v>368</v>
      </c>
      <c r="E103" s="45">
        <v>20</v>
      </c>
      <c r="F103" s="45">
        <v>4</v>
      </c>
      <c r="G103" s="3" t="s">
        <v>107</v>
      </c>
      <c r="H103" s="7"/>
      <c r="I103" s="3"/>
      <c r="J103" s="3"/>
      <c r="K103" s="3" t="s">
        <v>195</v>
      </c>
      <c r="L103" s="34">
        <v>590000</v>
      </c>
      <c r="M103" s="28"/>
      <c r="N103" s="28"/>
      <c r="O103" s="28"/>
      <c r="P103" s="28"/>
      <c r="Q103" s="28">
        <f t="shared" si="173"/>
        <v>590000</v>
      </c>
      <c r="R103" s="28">
        <v>590000</v>
      </c>
      <c r="S103" s="28"/>
      <c r="T103" s="28"/>
      <c r="U103" s="28"/>
      <c r="V103" s="28"/>
      <c r="W103" s="28">
        <f t="shared" ref="W103:W104" si="178">SUM(R103:V103)</f>
        <v>590000</v>
      </c>
      <c r="X103" s="28">
        <v>590000</v>
      </c>
      <c r="Y103" s="28"/>
      <c r="Z103" s="28"/>
      <c r="AA103" s="28"/>
      <c r="AB103" s="28"/>
      <c r="AC103" s="28">
        <f t="shared" si="175"/>
        <v>590000</v>
      </c>
      <c r="AD103" s="28">
        <v>590000</v>
      </c>
      <c r="AE103" s="28"/>
      <c r="AF103" s="28"/>
      <c r="AG103" s="28"/>
      <c r="AH103" s="28"/>
      <c r="AI103" s="28">
        <f t="shared" si="176"/>
        <v>590000</v>
      </c>
      <c r="AJ103" s="28">
        <v>590000</v>
      </c>
      <c r="AK103" s="28"/>
      <c r="AL103" s="28"/>
      <c r="AM103" s="28"/>
      <c r="AN103" s="28"/>
      <c r="AO103" s="28">
        <f t="shared" ref="AO103:AO104" si="179">SUM(AJ103:AN103)</f>
        <v>590000</v>
      </c>
      <c r="AP103" s="27">
        <f t="shared" si="166"/>
        <v>2950000</v>
      </c>
      <c r="AQ103" s="1" t="s">
        <v>504</v>
      </c>
    </row>
    <row r="104" spans="1:43" s="2" customFormat="1" ht="12.75">
      <c r="A104" s="1">
        <v>7</v>
      </c>
      <c r="B104" s="1" t="s">
        <v>502</v>
      </c>
      <c r="C104" s="7" t="s">
        <v>369</v>
      </c>
      <c r="D104" s="7" t="s">
        <v>370</v>
      </c>
      <c r="E104" s="45" t="s">
        <v>198</v>
      </c>
      <c r="F104" s="45">
        <v>4</v>
      </c>
      <c r="G104" s="3" t="s">
        <v>107</v>
      </c>
      <c r="H104" s="7"/>
      <c r="I104" s="3"/>
      <c r="J104" s="3" t="s">
        <v>199</v>
      </c>
      <c r="K104" s="3" t="s">
        <v>195</v>
      </c>
      <c r="L104" s="28"/>
      <c r="M104" s="28">
        <f>190091*0.15</f>
        <v>28513.649999999998</v>
      </c>
      <c r="N104" s="28">
        <f>190091*0.85</f>
        <v>161577.35</v>
      </c>
      <c r="O104" s="28"/>
      <c r="P104" s="28"/>
      <c r="Q104" s="28">
        <f t="shared" si="173"/>
        <v>190091</v>
      </c>
      <c r="R104" s="28"/>
      <c r="S104" s="28">
        <f>0.15*188013</f>
        <v>28201.95</v>
      </c>
      <c r="T104" s="28">
        <f>0.85*188013</f>
        <v>159811.04999999999</v>
      </c>
      <c r="U104" s="28"/>
      <c r="V104" s="28"/>
      <c r="W104" s="28">
        <f t="shared" si="178"/>
        <v>188013</v>
      </c>
      <c r="X104" s="28"/>
      <c r="Y104" s="28">
        <f>165673*0.15</f>
        <v>24850.95</v>
      </c>
      <c r="Z104" s="28">
        <f>165673*0.85</f>
        <v>140822.04999999999</v>
      </c>
      <c r="AA104" s="28"/>
      <c r="AB104" s="28"/>
      <c r="AC104" s="28">
        <f t="shared" si="175"/>
        <v>165673</v>
      </c>
      <c r="AD104" s="28"/>
      <c r="AE104" s="28">
        <f>165649*0.15</f>
        <v>24847.35</v>
      </c>
      <c r="AF104" s="28">
        <f>165649*0.85</f>
        <v>140801.65</v>
      </c>
      <c r="AG104" s="28"/>
      <c r="AH104" s="28"/>
      <c r="AI104" s="28">
        <f t="shared" si="176"/>
        <v>165649</v>
      </c>
      <c r="AJ104" s="28"/>
      <c r="AK104" s="28">
        <f>164883*0.15</f>
        <v>24732.45</v>
      </c>
      <c r="AL104" s="28">
        <f>164883*0.85</f>
        <v>140150.54999999999</v>
      </c>
      <c r="AM104" s="28"/>
      <c r="AN104" s="28"/>
      <c r="AO104" s="28">
        <f t="shared" si="179"/>
        <v>164883</v>
      </c>
      <c r="AP104" s="27">
        <f t="shared" si="166"/>
        <v>874309</v>
      </c>
      <c r="AQ104" s="1"/>
    </row>
    <row r="105" spans="1:43" s="2" customFormat="1" ht="12.75">
      <c r="A105" s="1"/>
      <c r="B105" s="1"/>
      <c r="C105" s="7"/>
      <c r="D105" s="7"/>
      <c r="E105" s="45"/>
      <c r="F105" s="45"/>
      <c r="G105" s="3"/>
      <c r="H105" s="7"/>
      <c r="I105" s="3"/>
      <c r="J105" s="3"/>
      <c r="K105" s="3"/>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61"/>
      <c r="AP105" s="61"/>
      <c r="AQ105" s="1"/>
    </row>
    <row r="106" spans="1:43">
      <c r="A106" s="91"/>
      <c r="B106" s="91"/>
      <c r="C106" s="92" t="s">
        <v>371</v>
      </c>
      <c r="D106" s="93"/>
      <c r="E106" s="94"/>
      <c r="F106" s="94"/>
      <c r="G106" s="95"/>
      <c r="H106" s="93"/>
      <c r="I106" s="95"/>
      <c r="J106" s="95"/>
      <c r="K106" s="95"/>
      <c r="L106" s="96">
        <f t="shared" ref="L106:AO106" si="180">SUBTOTAL(9,L3:L104)</f>
        <v>8228229</v>
      </c>
      <c r="M106" s="96">
        <f t="shared" si="180"/>
        <v>468348.87</v>
      </c>
      <c r="N106" s="96">
        <f t="shared" si="180"/>
        <v>3029341.7149999999</v>
      </c>
      <c r="O106" s="96">
        <f t="shared" si="180"/>
        <v>106706.35500000001</v>
      </c>
      <c r="P106" s="96">
        <f t="shared" si="180"/>
        <v>123750</v>
      </c>
      <c r="Q106" s="97">
        <f t="shared" si="180"/>
        <v>11956375.940000001</v>
      </c>
      <c r="R106" s="97">
        <f t="shared" si="180"/>
        <v>8162090</v>
      </c>
      <c r="S106" s="97">
        <f t="shared" si="180"/>
        <v>510394.87800000003</v>
      </c>
      <c r="T106" s="97">
        <f t="shared" si="180"/>
        <v>2892237.642</v>
      </c>
      <c r="U106" s="97">
        <f t="shared" si="180"/>
        <v>136250</v>
      </c>
      <c r="V106" s="97">
        <f t="shared" si="180"/>
        <v>408750</v>
      </c>
      <c r="W106" s="97">
        <f t="shared" si="180"/>
        <v>12109722.52</v>
      </c>
      <c r="X106" s="97">
        <f t="shared" si="180"/>
        <v>8108090</v>
      </c>
      <c r="Y106" s="97">
        <f t="shared" si="180"/>
        <v>422978.48500000004</v>
      </c>
      <c r="Z106" s="97">
        <f t="shared" si="180"/>
        <v>2396878.415</v>
      </c>
      <c r="AA106" s="97">
        <f t="shared" si="180"/>
        <v>136250</v>
      </c>
      <c r="AB106" s="97">
        <f t="shared" si="180"/>
        <v>408750</v>
      </c>
      <c r="AC106" s="97">
        <f t="shared" si="180"/>
        <v>11472946.9</v>
      </c>
      <c r="AD106" s="97">
        <f t="shared" si="180"/>
        <v>7976090</v>
      </c>
      <c r="AE106" s="97">
        <f t="shared" si="180"/>
        <v>374488.2</v>
      </c>
      <c r="AF106" s="97">
        <f t="shared" si="180"/>
        <v>2122099.7999999998</v>
      </c>
      <c r="AG106" s="97">
        <f t="shared" si="180"/>
        <v>136250</v>
      </c>
      <c r="AH106" s="97">
        <f t="shared" si="180"/>
        <v>408750</v>
      </c>
      <c r="AI106" s="97">
        <f t="shared" si="180"/>
        <v>11017678</v>
      </c>
      <c r="AJ106" s="97">
        <f t="shared" si="180"/>
        <v>8061090</v>
      </c>
      <c r="AK106" s="97">
        <f t="shared" si="180"/>
        <v>382031.10509375005</v>
      </c>
      <c r="AL106" s="97">
        <f t="shared" si="180"/>
        <v>2164843.5955312499</v>
      </c>
      <c r="AM106" s="97">
        <f t="shared" si="180"/>
        <v>151750.5</v>
      </c>
      <c r="AN106" s="97">
        <f t="shared" si="180"/>
        <v>455251.5</v>
      </c>
      <c r="AO106" s="97">
        <f t="shared" si="180"/>
        <v>11214966.700625001</v>
      </c>
      <c r="AP106" s="97">
        <f>SUBTOTAL(9,AP3:AP104)</f>
        <v>57771690.060625002</v>
      </c>
      <c r="AQ106" s="1"/>
    </row>
    <row r="107" spans="1:43">
      <c r="B107" s="98"/>
      <c r="C107" s="99"/>
      <c r="D107" s="98"/>
      <c r="E107" s="100"/>
      <c r="F107" s="100"/>
      <c r="G107" s="98"/>
      <c r="H107" s="98"/>
      <c r="I107" s="98"/>
      <c r="J107" s="98"/>
      <c r="K107" s="98"/>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2"/>
      <c r="AP107" s="102"/>
    </row>
    <row r="108" spans="1:43">
      <c r="C108" s="104" t="s">
        <v>372</v>
      </c>
    </row>
    <row r="109" spans="1:43">
      <c r="C109" s="108" t="s">
        <v>373</v>
      </c>
    </row>
    <row r="110" spans="1:43">
      <c r="C110" s="108" t="s">
        <v>374</v>
      </c>
    </row>
    <row r="111" spans="1:43">
      <c r="C111" s="108" t="s">
        <v>375</v>
      </c>
    </row>
    <row r="112" spans="1:43">
      <c r="C112" s="108" t="s">
        <v>376</v>
      </c>
    </row>
    <row r="113" spans="3:3">
      <c r="C113" s="108" t="s">
        <v>377</v>
      </c>
    </row>
    <row r="114" spans="3:3">
      <c r="C114" s="108" t="s">
        <v>378</v>
      </c>
    </row>
    <row r="115" spans="3:3">
      <c r="C115" s="108" t="s">
        <v>379</v>
      </c>
    </row>
    <row r="116" spans="3:3">
      <c r="C116" s="108" t="s">
        <v>380</v>
      </c>
    </row>
    <row r="117" spans="3:3">
      <c r="C117" s="108" t="s">
        <v>381</v>
      </c>
    </row>
    <row r="118" spans="3:3">
      <c r="C118" s="108" t="s">
        <v>382</v>
      </c>
    </row>
    <row r="119" spans="3:3">
      <c r="C119" s="108" t="s">
        <v>383</v>
      </c>
    </row>
    <row r="120" spans="3:3">
      <c r="C120" s="108" t="s">
        <v>384</v>
      </c>
    </row>
    <row r="122" spans="3:3">
      <c r="C122" s="140"/>
    </row>
  </sheetData>
  <autoFilter ref="B1:AQ105"/>
  <pageMargins left="0.23622047244094491" right="0.19685039370078741" top="0.43307086614173229" bottom="0.43307086614173229" header="0.19685039370078741" footer="0.19685039370078741"/>
  <pageSetup paperSize="9" scale="67" fitToHeight="10" orientation="landscape" cellComments="asDisplayed" r:id="rId1"/>
  <headerFooter>
    <oddHeader>&amp;L&amp;"-,Bold"&amp;12Lõimumisvaldkonna arengukava "Lõimuv Eesti 2020" rakendusplaan aastateks 2016-2020</oddHeader>
    <oddFooter>&amp;C&amp;P (&amp;N)</oddFooter>
  </headerFooter>
  <ignoredErrors>
    <ignoredError sqref="AO31 W40" formulaRange="1"/>
    <ignoredError sqref="Q69:Q70 W69:W70 AC69:AC70 AI69:AI70 AO69:AO7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Koond_vorm</vt:lpstr>
      <vt:lpstr>Sheet1</vt:lpstr>
      <vt:lpstr>rakendusplaan 2016-2020</vt:lpstr>
      <vt:lpstr>'rakendusplaan 2016-2020'!_GoBack</vt:lpstr>
      <vt:lpstr>'rakendusplaan 2016-2020'!Print_Area</vt:lpstr>
      <vt:lpstr>Koond_vorm!Print_Titles</vt:lpstr>
      <vt:lpstr>'rakendusplaan 2016-2020'!Print_Titles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Tanel</dc:creator>
  <cp:lastModifiedBy>eve.rand</cp:lastModifiedBy>
  <cp:revision/>
  <cp:lastPrinted>2016-05-02T16:22:12Z</cp:lastPrinted>
  <dcterms:created xsi:type="dcterms:W3CDTF">2013-12-09T15:02:57Z</dcterms:created>
  <dcterms:modified xsi:type="dcterms:W3CDTF">2016-05-16T10:23:36Z</dcterms:modified>
</cp:coreProperties>
</file>